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yuverta-my.sharepoint.com/personal/ge_willems_yuverta_nl/Documents/Mijn-Oude-H-Schijf/Helicon 25/klas Ve43/"/>
    </mc:Choice>
  </mc:AlternateContent>
  <xr:revisionPtr revIDLastSave="0" documentId="8_{69BF5256-4622-4201-AA81-54ECA20C81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7" i="1" l="1"/>
  <c r="D137" i="1"/>
  <c r="M73" i="1"/>
  <c r="B137" i="1"/>
  <c r="G11" i="1"/>
  <c r="B93" i="1"/>
  <c r="M137" i="1"/>
  <c r="F63" i="1" l="1"/>
  <c r="B101" i="1" l="1"/>
  <c r="B100" i="1"/>
  <c r="M84" i="1" l="1"/>
  <c r="S71" i="1"/>
  <c r="S70" i="1"/>
  <c r="S69" i="1"/>
  <c r="S68" i="1"/>
  <c r="S67" i="1"/>
  <c r="H26" i="1"/>
  <c r="H25" i="1"/>
  <c r="R13" i="1"/>
  <c r="R12" i="1"/>
  <c r="E11" i="1"/>
  <c r="B30" i="1" l="1"/>
  <c r="F30" i="1" s="1"/>
  <c r="M30" i="1"/>
  <c r="B102" i="1"/>
  <c r="M106" i="1"/>
  <c r="M105" i="1"/>
  <c r="B27" i="1"/>
  <c r="S73" i="1"/>
  <c r="N27" i="1"/>
  <c r="B109" i="1"/>
  <c r="B73" i="1"/>
  <c r="B18" i="1" s="1"/>
  <c r="H71" i="1"/>
  <c r="H70" i="1"/>
  <c r="F70" i="1" s="1"/>
  <c r="H69" i="1"/>
  <c r="F69" i="1" s="1"/>
  <c r="H68" i="1"/>
  <c r="H67" i="1"/>
  <c r="F67" i="1" s="1"/>
  <c r="B84" i="1"/>
  <c r="B82" i="1"/>
  <c r="E38" i="1"/>
  <c r="G12" i="1"/>
  <c r="B24" i="1"/>
  <c r="N24" i="1" s="1"/>
  <c r="F31" i="1" l="1"/>
  <c r="F68" i="1"/>
  <c r="B105" i="1"/>
  <c r="B103" i="1" s="1"/>
  <c r="B17" i="1" s="1"/>
  <c r="H73" i="1"/>
  <c r="B106" i="1" s="1"/>
  <c r="B87" i="1"/>
  <c r="B107" i="1" s="1"/>
  <c r="N23" i="1"/>
  <c r="G93" i="1"/>
  <c r="G94" i="1"/>
  <c r="B94" i="1"/>
  <c r="G14" i="1"/>
  <c r="Q30" i="1" l="1"/>
  <c r="Q31" i="1" s="1"/>
  <c r="R11" i="1"/>
  <c r="V11" i="1" s="1"/>
  <c r="N63" i="1"/>
  <c r="P105" i="1"/>
  <c r="V12" i="1"/>
  <c r="B110" i="1"/>
  <c r="B111" i="1" s="1"/>
  <c r="B95" i="1"/>
  <c r="B104" i="1"/>
  <c r="B113" i="1" s="1"/>
  <c r="G16" i="1"/>
  <c r="N25" i="1"/>
  <c r="M100" i="1"/>
  <c r="N26" i="1"/>
  <c r="M101" i="1" l="1"/>
  <c r="P101" i="1" s="1"/>
  <c r="R18" i="1"/>
  <c r="T11" i="1"/>
  <c r="V14" i="1"/>
  <c r="B115" i="1"/>
  <c r="D139" i="1" s="1"/>
  <c r="D143" i="1" s="1"/>
  <c r="Q67" i="1"/>
  <c r="Q68" i="1"/>
  <c r="Q70" i="1"/>
  <c r="Q69" i="1"/>
  <c r="P100" i="1"/>
  <c r="M82" i="1"/>
  <c r="M87" i="1" s="1"/>
  <c r="M107" i="1" s="1"/>
  <c r="M90" i="1" l="1"/>
  <c r="M93" i="1" s="1"/>
  <c r="M102" i="1"/>
  <c r="M103" i="1" s="1"/>
  <c r="M104" i="1"/>
  <c r="V16" i="1"/>
  <c r="P106" i="1"/>
  <c r="M109" i="1" l="1"/>
  <c r="P109" i="1" s="1"/>
  <c r="R93" i="1"/>
  <c r="M94" i="1"/>
  <c r="M95" i="1" s="1"/>
  <c r="R94" i="1"/>
  <c r="P102" i="1"/>
  <c r="P107" i="1"/>
  <c r="P104" i="1"/>
  <c r="P103" i="1"/>
  <c r="R17" i="1"/>
  <c r="M110" i="1" l="1"/>
  <c r="P110" i="1" s="1"/>
  <c r="M113" i="1"/>
  <c r="P113" i="1" s="1"/>
  <c r="M111" i="1" l="1"/>
  <c r="P111" i="1" s="1"/>
  <c r="M115" i="1"/>
  <c r="O139" i="1" s="1"/>
  <c r="O143" i="1" l="1"/>
  <c r="G1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Geert Willems</author>
  </authors>
  <commentList>
    <comment ref="B15" authorId="0" shapeId="0" xr:uid="{3DDC4F96-C00C-4E48-A212-F59777027B9F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Zoek op website RFC</t>
        </r>
      </text>
    </comment>
    <comment ref="R15" authorId="0" shapeId="0" xr:uid="{559BAD32-15F6-43AB-87FF-336D1CE359E9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zoek op website RFC</t>
        </r>
      </text>
    </comment>
    <comment ref="B18" authorId="0" shapeId="0" xr:uid="{DFF83313-2A7E-4081-91F3-10D970607B69}">
      <text>
        <r>
          <rPr>
            <b/>
            <sz val="9"/>
            <color indexed="81"/>
            <rFont val="Tahoma"/>
            <charset val="1"/>
          </rPr>
          <t>Geert Willems:</t>
        </r>
        <r>
          <rPr>
            <sz val="9"/>
            <color indexed="81"/>
            <rFont val="Tahoma"/>
            <charset val="1"/>
          </rPr>
          <t xml:space="preserve">
OP basis van 0,25 kalf en 0,5 pink</t>
        </r>
      </text>
    </comment>
    <comment ref="R18" authorId="0" shapeId="0" xr:uid="{1A24E183-52A1-432F-9A1F-59035750507F}">
      <text>
        <r>
          <rPr>
            <b/>
            <sz val="9"/>
            <color indexed="81"/>
            <rFont val="Tahoma"/>
            <charset val="1"/>
          </rPr>
          <t>Geert Willems:</t>
        </r>
        <r>
          <rPr>
            <sz val="9"/>
            <color indexed="81"/>
            <rFont val="Tahoma"/>
            <charset val="1"/>
          </rPr>
          <t xml:space="preserve">
Op basis van 0,25 Kalf en 0,5 pink</t>
        </r>
      </text>
    </comment>
    <comment ref="E23" authorId="0" shapeId="0" xr:uid="{FDDFFC8E-4B5A-43C2-8CAB-855B561D7235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zie tabel 6a</t>
        </r>
      </text>
    </comment>
    <comment ref="H23" authorId="0" shapeId="0" xr:uid="{C502C767-ED22-4646-9FD5-1A7B4DFD2B91}">
      <text>
        <r>
          <rPr>
            <b/>
            <sz val="9"/>
            <color indexed="81"/>
            <rFont val="Tahoma"/>
            <charset val="1"/>
          </rPr>
          <t>Geert Willems:</t>
        </r>
        <r>
          <rPr>
            <sz val="9"/>
            <color indexed="81"/>
            <rFont val="Tahoma"/>
            <charset val="1"/>
          </rPr>
          <t xml:space="preserve">
Zoek op in tabel 6a 
Ga uit van Ureum van 18</t>
        </r>
      </text>
    </comment>
    <comment ref="Q24" authorId="0" shapeId="0" xr:uid="{50F4E788-1DD8-47FA-982A-6528F5F6317D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zie tabel 6a</t>
        </r>
      </text>
    </comment>
    <comment ref="T24" authorId="0" shapeId="0" xr:uid="{32A4EBD1-36AF-4582-8F2B-97D825BC295F}">
      <text>
        <r>
          <rPr>
            <b/>
            <sz val="9"/>
            <color indexed="81"/>
            <rFont val="Tahoma"/>
            <charset val="1"/>
          </rPr>
          <t>Geert Willems:</t>
        </r>
        <r>
          <rPr>
            <sz val="9"/>
            <color indexed="81"/>
            <rFont val="Tahoma"/>
            <charset val="1"/>
          </rPr>
          <t xml:space="preserve">
Zoek op in tabel 6a 
Ga uit van Ureum van 18</t>
        </r>
      </text>
    </comment>
    <comment ref="N62" authorId="0" shapeId="0" xr:uid="{3008672E-2662-4EF5-A280-D26A03BC7AD8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Zie website Natuurweide</t>
        </r>
      </text>
    </comment>
    <comment ref="F66" authorId="0" shapeId="0" xr:uid="{3C86D39C-133C-49FE-AB7E-F4298AE6AD42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Alleen de toegerekende kosten zie regel 103</t>
        </r>
      </text>
    </comment>
    <comment ref="Q66" authorId="0" shapeId="0" xr:uid="{248205A6-C1DD-4813-A2E0-3C693A433340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Alleeen de toegerekende kosten.zie onder</t>
        </r>
      </text>
    </comment>
    <comment ref="D67" authorId="0" shapeId="0" xr:uid="{9FDEC16A-BE48-4587-BD1B-5124DF63DDAF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Inschatten of KLW</t>
        </r>
      </text>
    </comment>
    <comment ref="Q67" authorId="0" shapeId="0" xr:uid="{EB2C2DA9-FF6B-4A7D-8465-47E2BF4180A4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Kijk op tabel Flynth</t>
        </r>
      </text>
    </comment>
    <comment ref="D68" authorId="0" shapeId="0" xr:uid="{D83957CC-EF15-4F01-BF35-A7DD1839A9F3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Schatten of opzoeken in KLW</t>
        </r>
      </text>
    </comment>
    <comment ref="D69" authorId="0" shapeId="0" xr:uid="{18FC8098-9FC3-4FC7-BE1F-AD7521A7B951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Innschatten of KLW</t>
        </r>
      </text>
    </comment>
    <comment ref="D70" authorId="0" shapeId="0" xr:uid="{1D0E950B-E5BB-4F54-92DC-861CF8B91D56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Inschatten of KLW</t>
        </r>
      </text>
    </comment>
    <comment ref="D71" authorId="0" shapeId="0" xr:uid="{9C2570BF-A153-4316-BBC6-8E0F4B705C50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Afhankelijk van beheertype, en aantal jaren als natuur in gebruik; zelden &gt; 6000 kg ds</t>
        </r>
      </text>
    </comment>
    <comment ref="C85" authorId="0" shapeId="0" xr:uid="{C4710A4E-6757-41CD-91F6-FE8FCC2B3046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geen loonwerk, machines, pacht, arbeid</t>
        </r>
      </text>
    </comment>
    <comment ref="N85" authorId="0" shapeId="0" xr:uid="{6ABE91A1-BF53-4ABC-9D68-BB746F294321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geen loonwerk, machines, pacht, arbeid</t>
        </r>
      </text>
    </comment>
    <comment ref="B121" authorId="0" shapeId="0" xr:uid="{ACDC5EC4-16CC-4374-AEF5-DFA9D32CBFF2}">
      <text>
        <r>
          <rPr>
            <b/>
            <sz val="9"/>
            <color indexed="81"/>
            <rFont val="Tahoma"/>
            <family val="2"/>
          </rPr>
          <t>Geert Willems:</t>
        </r>
        <r>
          <rPr>
            <sz val="9"/>
            <color indexed="81"/>
            <rFont val="Tahoma"/>
            <family val="2"/>
          </rPr>
          <t xml:space="preserve">
zoek op in KWIN
incl BTW 2024</t>
        </r>
      </text>
    </comment>
    <comment ref="M121" authorId="0" shapeId="0" xr:uid="{CFE4F0D7-28C5-436D-9823-41DABE31F2B9}">
      <text>
        <r>
          <rPr>
            <b/>
            <sz val="9"/>
            <color indexed="81"/>
            <rFont val="Tahoma"/>
            <family val="2"/>
          </rPr>
          <t>Geert Willems:</t>
        </r>
        <r>
          <rPr>
            <sz val="9"/>
            <color indexed="81"/>
            <rFont val="Tahoma"/>
            <family val="2"/>
          </rPr>
          <t xml:space="preserve">
opzoeken in KWIN
incl BTW 2024</t>
        </r>
      </text>
    </comment>
    <comment ref="O121" authorId="0" shapeId="0" xr:uid="{90050C3F-3B3E-42B4-8BEA-3DBDC5E6C94A}">
      <text>
        <r>
          <rPr>
            <b/>
            <sz val="11"/>
            <color indexed="81"/>
            <rFont val="Tahoma"/>
            <family val="2"/>
          </rPr>
          <t>Geert Willems:</t>
        </r>
        <r>
          <rPr>
            <sz val="11"/>
            <color indexed="81"/>
            <rFont val="Tahoma"/>
            <family val="2"/>
          </rPr>
          <t xml:space="preserve">
corrigeer op ha bewerkt</t>
        </r>
      </text>
    </comment>
  </commentList>
</comments>
</file>

<file path=xl/sharedStrings.xml><?xml version="1.0" encoding="utf-8"?>
<sst xmlns="http://schemas.openxmlformats.org/spreadsheetml/2006/main" count="330" uniqueCount="179">
  <si>
    <t>kg</t>
  </si>
  <si>
    <t>kg melk</t>
  </si>
  <si>
    <t>%</t>
  </si>
  <si>
    <t>Dunne melk</t>
  </si>
  <si>
    <t>Totaal</t>
  </si>
  <si>
    <t>melkgeld</t>
  </si>
  <si>
    <t>excretie</t>
  </si>
  <si>
    <t>deze vakjes invullen</t>
  </si>
  <si>
    <t>deze vakjes afblijven ivm formules</t>
  </si>
  <si>
    <t>Huidige Situatie</t>
  </si>
  <si>
    <t>vet %</t>
  </si>
  <si>
    <t>eiwit %</t>
  </si>
  <si>
    <t>Kg eiwit prijs</t>
  </si>
  <si>
    <t>Jaarproductie</t>
  </si>
  <si>
    <t>Melk</t>
  </si>
  <si>
    <t>Omzet en aanwas</t>
  </si>
  <si>
    <t>koe/jr</t>
  </si>
  <si>
    <t>per kg</t>
  </si>
  <si>
    <t>(Berekening is gebaseerd op Campina - uitbetaling !!)</t>
  </si>
  <si>
    <t>Dieren</t>
  </si>
  <si>
    <t>(gemiddelde aantallen aanwezig op jaar basis)</t>
  </si>
  <si>
    <t>Melk-en kalfkoeien (cat 100)</t>
  </si>
  <si>
    <t>Jongvee&lt; 1jr</t>
  </si>
  <si>
    <t>Jongvee&gt;1 jr</t>
  </si>
  <si>
    <t>stuks</t>
  </si>
  <si>
    <t>P2O5/jr</t>
  </si>
  <si>
    <t>Melkprod/gemid aanwezige koe</t>
  </si>
  <si>
    <t>kg P2O5</t>
  </si>
  <si>
    <t>ha</t>
  </si>
  <si>
    <t>Grasland</t>
  </si>
  <si>
    <t>Snijmais</t>
  </si>
  <si>
    <t>Natuurlijk grasland</t>
  </si>
  <si>
    <t>Ds opbrengst:</t>
  </si>
  <si>
    <t>kg ds/ha/jr</t>
  </si>
  <si>
    <t>Kosten/kg ds</t>
  </si>
  <si>
    <t>/kg ds</t>
  </si>
  <si>
    <t xml:space="preserve">Ruwvoeropname </t>
  </si>
  <si>
    <t>Melk en kalfkoeien</t>
  </si>
  <si>
    <t>kg ds/dag</t>
  </si>
  <si>
    <t>Kalveren</t>
  </si>
  <si>
    <t>Pinken</t>
  </si>
  <si>
    <t>Benodigd tot.ruwvoer</t>
  </si>
  <si>
    <t>Geproduceerd ruwvoer</t>
  </si>
  <si>
    <t>Te kort / te veel</t>
  </si>
  <si>
    <t>kg ds per jaar</t>
  </si>
  <si>
    <t>GROND en VOER</t>
  </si>
  <si>
    <t>Opbr.tot/jr</t>
  </si>
  <si>
    <t>Totaal ha in gebruik</t>
  </si>
  <si>
    <t>tot ds prod</t>
  </si>
  <si>
    <t>Omschakelen naar Biologische Bedrijfsvoering</t>
  </si>
  <si>
    <t>Krachtvoerverbruik</t>
  </si>
  <si>
    <t xml:space="preserve">per kg </t>
  </si>
  <si>
    <t>Per jaar benodigd krachtvoer</t>
  </si>
  <si>
    <t>Krachtvoerkosten per jaar</t>
  </si>
  <si>
    <t>dit zijn de belangrijkste berekende kengetallen, ook afblijven !!</t>
  </si>
  <si>
    <t>Benodigde fosfaatrechten bij deze aantallen dieren en bij deze productie:</t>
  </si>
  <si>
    <t>Voerefficientie incl jv</t>
  </si>
  <si>
    <t>Voerefficientie alleen mk</t>
  </si>
  <si>
    <t>Meetmelk</t>
  </si>
  <si>
    <t>Nieuwe situatie</t>
  </si>
  <si>
    <t>melk</t>
  </si>
  <si>
    <t>geschatte prod.daling:</t>
  </si>
  <si>
    <t>O+A</t>
  </si>
  <si>
    <t>,</t>
  </si>
  <si>
    <t>Pinken %</t>
  </si>
  <si>
    <t>Kalveren %</t>
  </si>
  <si>
    <t>Bio</t>
  </si>
  <si>
    <t>kg krachtvoer per 100 kg meetmelk incl jongvee</t>
  </si>
  <si>
    <t>Per jaar benodigd krvoer</t>
  </si>
  <si>
    <t>Gemiddelde krachtvoerprijs</t>
  </si>
  <si>
    <r>
      <rPr>
        <b/>
        <sz val="16"/>
        <color rgb="FFFF0000"/>
        <rFont val="Arial"/>
        <family val="2"/>
      </rPr>
      <t>LET OP</t>
    </r>
    <r>
      <rPr>
        <sz val="16"/>
        <color theme="1"/>
        <rFont val="Arial"/>
        <family val="2"/>
      </rPr>
      <t>:</t>
    </r>
  </si>
  <si>
    <t>Aantal mk</t>
  </si>
  <si>
    <t>Aantal jongvee</t>
  </si>
  <si>
    <t>Ha grond in gebruik</t>
  </si>
  <si>
    <t>Gemiddeld ds prod/ha</t>
  </si>
  <si>
    <t>Krachtvoer kg tot. per jaar</t>
  </si>
  <si>
    <t>Krrachtvoerkosten tot</t>
  </si>
  <si>
    <t>Melk-en kalfkoeien</t>
  </si>
  <si>
    <t>kg ds/jr</t>
  </si>
  <si>
    <t>kg /jr</t>
  </si>
  <si>
    <t>Grond: soort</t>
  </si>
  <si>
    <t>Grond: droogtegevoeligehid</t>
  </si>
  <si>
    <t>Grond: GWT</t>
  </si>
  <si>
    <t>Verkaveling</t>
  </si>
  <si>
    <t>Aantal kavels</t>
  </si>
  <si>
    <t>Beweidbare huiskavel</t>
  </si>
  <si>
    <t>Gebruik grond:</t>
  </si>
  <si>
    <t>Benodigde beweidbare huiskavel</t>
  </si>
  <si>
    <t>Gebruik grond</t>
  </si>
  <si>
    <t>mk/ha maximaal</t>
  </si>
  <si>
    <t xml:space="preserve">ha </t>
  </si>
  <si>
    <t xml:space="preserve">ha meer </t>
  </si>
  <si>
    <t>minder krachtvoer/jr</t>
  </si>
  <si>
    <t>meer krachtvoerkosten/jr</t>
  </si>
  <si>
    <t>kg tot /jr</t>
  </si>
  <si>
    <t>kosten/jr</t>
  </si>
  <si>
    <t>Bruto omzet/jr</t>
  </si>
  <si>
    <t>tot € /jr</t>
  </si>
  <si>
    <t>Geleverde kg meetmelk/jr</t>
  </si>
  <si>
    <t>kg mmelk.jr</t>
  </si>
  <si>
    <t>Intensiteit</t>
  </si>
  <si>
    <t>kgmmelk/ha</t>
  </si>
  <si>
    <t>kg mmelk minder</t>
  </si>
  <si>
    <t>kgmmelk/ha minder</t>
  </si>
  <si>
    <t>omzet/jr meer</t>
  </si>
  <si>
    <t>mk meer</t>
  </si>
  <si>
    <t>stuks jv meer</t>
  </si>
  <si>
    <t>Voersaldo</t>
  </si>
  <si>
    <t>meer voersaldo</t>
  </si>
  <si>
    <t>Verschil:</t>
  </si>
  <si>
    <t>kg ds /jr/ha minder</t>
  </si>
  <si>
    <t>melkkoeien per ha beweidbaar opp.</t>
  </si>
  <si>
    <t>Conclusies:</t>
  </si>
  <si>
    <t>Benodigd fosfaat per melkkoe</t>
  </si>
  <si>
    <t>per koe</t>
  </si>
  <si>
    <t>Krachtvoerkosten / koe / jaar</t>
  </si>
  <si>
    <t>Krachtv.k. / koe / jaar</t>
  </si>
  <si>
    <t>kg mmelk/ha</t>
  </si>
  <si>
    <t>mmelk/ha</t>
  </si>
  <si>
    <t>Stro</t>
  </si>
  <si>
    <t>Zaagsel</t>
  </si>
  <si>
    <t>Reinigingsmiddelen</t>
  </si>
  <si>
    <t>Water</t>
  </si>
  <si>
    <t>Afrastering</t>
  </si>
  <si>
    <t>Afdekking ruwvoeropslag</t>
  </si>
  <si>
    <t>Elektriciteit</t>
  </si>
  <si>
    <t>Gezondheidszorg</t>
  </si>
  <si>
    <t>Inseminatiekosten</t>
  </si>
  <si>
    <t>MPR</t>
  </si>
  <si>
    <t>Scheren</t>
  </si>
  <si>
    <t>Klauwbekappen</t>
  </si>
  <si>
    <t>Per koe</t>
  </si>
  <si>
    <t>Per koe(norm)</t>
  </si>
  <si>
    <t>Jouw bedrijf</t>
  </si>
  <si>
    <t xml:space="preserve">Totaal </t>
  </si>
  <si>
    <t>Saldo/koe/jr</t>
  </si>
  <si>
    <t>VERSCHIL</t>
  </si>
  <si>
    <t>Beweidingsverliezen zijn niet verrekend !</t>
  </si>
  <si>
    <t>Overige Toegerekende Kosten:</t>
  </si>
  <si>
    <t>Krachtvoerkosten per koe/jr</t>
  </si>
  <si>
    <t>meer krachtvoerkosten/jkoe/jr</t>
  </si>
  <si>
    <t>Zaaizaad en pootgoed</t>
  </si>
  <si>
    <t>Bemestings en gewasbesch</t>
  </si>
  <si>
    <t>Bemesting</t>
  </si>
  <si>
    <t>GVE/ha</t>
  </si>
  <si>
    <t>Jongvee&gt;1 jr obv aantal huidig sit.</t>
  </si>
  <si>
    <t>Jongvee&lt; 1jr  obv aantal huidig sit.</t>
  </si>
  <si>
    <t>kg ds</t>
  </si>
  <si>
    <t>Per Bedrijf</t>
  </si>
  <si>
    <t>Per bedrijf</t>
  </si>
  <si>
    <t>Ruwvoer aankoop a € 0,15</t>
  </si>
  <si>
    <t>tot €/jaar</t>
  </si>
  <si>
    <t>neg is tekort; ruwvoer aankopen</t>
  </si>
  <si>
    <t>Ruwvoeraankoop a €0,25</t>
  </si>
  <si>
    <t>tot%/jr</t>
  </si>
  <si>
    <t>neg. is tekort: ruwvoer aankopen:</t>
  </si>
  <si>
    <t>Maximaal toegestane MK/ha</t>
  </si>
  <si>
    <t>Gras klaver</t>
  </si>
  <si>
    <t>verschil in  ruwvoer aankoop</t>
  </si>
  <si>
    <t>Toegerek. kosten/kg ds</t>
  </si>
  <si>
    <t>Let op! Alleen</t>
  </si>
  <si>
    <r>
      <rPr>
        <b/>
        <sz val="10"/>
        <color theme="1"/>
        <rFont val="Arial"/>
        <family val="2"/>
      </rPr>
      <t>berekend</t>
    </r>
    <r>
      <rPr>
        <sz val="10"/>
        <color theme="1"/>
        <rFont val="Arial"/>
        <family val="2"/>
      </rPr>
      <t xml:space="preserve"> kg krachtvoer per 100 kg melk incl jongvee, gebaseerd op wat je als gangbare boer voert</t>
    </r>
  </si>
  <si>
    <t>en uitgaande van 8 % lagere VEM waarden in bio-ruwvoer</t>
  </si>
  <si>
    <t>excretie fosfaat</t>
  </si>
  <si>
    <t>excretie stikstof</t>
  </si>
  <si>
    <t xml:space="preserve">kg N/jr </t>
  </si>
  <si>
    <t>Geprod. Stikstof /mk incl jv</t>
  </si>
  <si>
    <t>kg/jr</t>
  </si>
  <si>
    <t>Benodigd aantal hectare bij 170 kg N /ha</t>
  </si>
  <si>
    <t>MEST:</t>
  </si>
  <si>
    <t>Tekort aan grond bij ingevulde oppervlakte</t>
  </si>
  <si>
    <t>Meetmelk/jr/bedrijf</t>
  </si>
  <si>
    <t>excretie P2O5</t>
  </si>
  <si>
    <r>
      <t xml:space="preserve">Mocht je onverhoopt toch een getal in een van de oranje hokjes invullen, </t>
    </r>
    <r>
      <rPr>
        <b/>
        <sz val="12"/>
        <color rgb="FFFF0000"/>
        <rFont val="Arial"/>
        <family val="2"/>
      </rPr>
      <t>dan werkt het excel niet meer goed</t>
    </r>
    <r>
      <rPr>
        <sz val="10"/>
        <color theme="1"/>
        <rFont val="Arial"/>
        <family val="2"/>
      </rPr>
      <t>: opnieuw beginnen met blanco versie !!</t>
    </r>
  </si>
  <si>
    <t>BIO Keuzedeel 1e jaars</t>
  </si>
  <si>
    <t>Jaarproductie/bedrijf</t>
  </si>
  <si>
    <t>zand</t>
  </si>
  <si>
    <t>gemiddeld</t>
  </si>
  <si>
    <t>zeer goed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</si>
</sst>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164" formatCode="&quot;€&quot;\ #,##0"/>
    <numFmt numFmtId="165" formatCode="&quot;€&quot;\ #,##0.00"/>
    <numFmt numFmtId="166" formatCode="0.0"/>
    <numFmt numFmtId="167" formatCode="#,##0.0"/>
    <numFmt numFmtId="168" formatCode="&quot;€&quot;\ #,##0.000"/>
  </numFmts>
  <fonts count="3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i/>
      <sz val="8"/>
      <color theme="1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7" fillId="0" borderId="0" xfId="0" applyFont="1"/>
    <xf numFmtId="1" fontId="0" fillId="0" borderId="0" xfId="0" applyNumberFormat="1" applyAlignment="1">
      <alignment horizontal="center"/>
    </xf>
    <xf numFmtId="0" fontId="6" fillId="0" borderId="0" xfId="0" applyFont="1"/>
    <xf numFmtId="1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6" fillId="0" borderId="0" xfId="0" applyNumberFormat="1" applyFont="1"/>
    <xf numFmtId="4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1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164" fontId="0" fillId="3" borderId="0" xfId="0" applyNumberFormat="1" applyFill="1"/>
    <xf numFmtId="0" fontId="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4" fontId="4" fillId="5" borderId="0" xfId="0" applyNumberFormat="1" applyFont="1" applyFill="1"/>
    <xf numFmtId="3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164" fontId="4" fillId="5" borderId="0" xfId="0" applyNumberFormat="1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/>
    <xf numFmtId="166" fontId="1" fillId="0" borderId="0" xfId="0" applyNumberFormat="1" applyFont="1"/>
    <xf numFmtId="1" fontId="6" fillId="3" borderId="0" xfId="0" applyNumberFormat="1" applyFont="1" applyFill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9" fillId="3" borderId="0" xfId="0" applyFont="1" applyFill="1"/>
    <xf numFmtId="164" fontId="9" fillId="3" borderId="0" xfId="0" applyNumberFormat="1" applyFont="1" applyFill="1"/>
    <xf numFmtId="1" fontId="4" fillId="5" borderId="0" xfId="0" applyNumberFormat="1" applyFont="1" applyFill="1"/>
    <xf numFmtId="167" fontId="1" fillId="5" borderId="0" xfId="0" applyNumberFormat="1" applyFont="1" applyFill="1"/>
    <xf numFmtId="165" fontId="0" fillId="4" borderId="0" xfId="0" applyNumberFormat="1" applyFill="1"/>
    <xf numFmtId="1" fontId="4" fillId="5" borderId="0" xfId="0" applyNumberFormat="1" applyFont="1" applyFill="1" applyAlignment="1">
      <alignment horizontal="center"/>
    </xf>
    <xf numFmtId="0" fontId="0" fillId="6" borderId="0" xfId="0" applyFill="1"/>
    <xf numFmtId="0" fontId="7" fillId="6" borderId="0" xfId="0" applyFont="1" applyFill="1"/>
    <xf numFmtId="165" fontId="6" fillId="6" borderId="0" xfId="0" applyNumberFormat="1" applyFont="1" applyFill="1"/>
    <xf numFmtId="165" fontId="0" fillId="6" borderId="0" xfId="0" applyNumberForma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3" fillId="6" borderId="0" xfId="0" applyFont="1" applyFill="1"/>
    <xf numFmtId="0" fontId="5" fillId="6" borderId="0" xfId="0" applyFont="1" applyFill="1"/>
    <xf numFmtId="0" fontId="8" fillId="6" borderId="0" xfId="0" applyFont="1" applyFill="1"/>
    <xf numFmtId="2" fontId="6" fillId="0" borderId="0" xfId="0" applyNumberFormat="1" applyFont="1"/>
    <xf numFmtId="164" fontId="9" fillId="0" borderId="0" xfId="0" applyNumberFormat="1" applyFont="1"/>
    <xf numFmtId="0" fontId="6" fillId="0" borderId="0" xfId="0" applyFont="1" applyAlignment="1">
      <alignment horizontal="right"/>
    </xf>
    <xf numFmtId="0" fontId="6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left"/>
    </xf>
    <xf numFmtId="166" fontId="1" fillId="4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6" fillId="0" borderId="0" xfId="0" applyFont="1"/>
    <xf numFmtId="0" fontId="20" fillId="0" borderId="0" xfId="0" applyFont="1"/>
    <xf numFmtId="164" fontId="5" fillId="5" borderId="0" xfId="0" applyNumberFormat="1" applyFont="1" applyFill="1"/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0" fillId="6" borderId="0" xfId="0" applyFont="1" applyFill="1"/>
    <xf numFmtId="1" fontId="0" fillId="3" borderId="0" xfId="0" applyNumberFormat="1" applyFill="1" applyAlignment="1">
      <alignment horizontal="center"/>
    </xf>
    <xf numFmtId="164" fontId="1" fillId="3" borderId="0" xfId="0" applyNumberFormat="1" applyFont="1" applyFill="1"/>
    <xf numFmtId="164" fontId="6" fillId="3" borderId="0" xfId="0" applyNumberFormat="1" applyFont="1" applyFill="1"/>
    <xf numFmtId="164" fontId="6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19" fillId="0" borderId="0" xfId="0" applyFont="1"/>
    <xf numFmtId="167" fontId="6" fillId="3" borderId="0" xfId="0" applyNumberFormat="1" applyFont="1" applyFill="1" applyAlignment="1">
      <alignment horizontal="center"/>
    </xf>
    <xf numFmtId="164" fontId="21" fillId="5" borderId="0" xfId="0" applyNumberFormat="1" applyFont="1" applyFill="1"/>
    <xf numFmtId="168" fontId="9" fillId="3" borderId="0" xfId="0" applyNumberFormat="1" applyFont="1" applyFill="1"/>
    <xf numFmtId="168" fontId="0" fillId="3" borderId="0" xfId="0" applyNumberForma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64" fontId="4" fillId="0" borderId="0" xfId="0" applyNumberFormat="1" applyFont="1"/>
    <xf numFmtId="164" fontId="4" fillId="3" borderId="0" xfId="0" applyNumberFormat="1" applyFont="1" applyFill="1"/>
    <xf numFmtId="164" fontId="19" fillId="0" borderId="0" xfId="0" applyNumberFormat="1" applyFont="1"/>
    <xf numFmtId="164" fontId="22" fillId="5" borderId="0" xfId="0" applyNumberFormat="1" applyFont="1" applyFill="1" applyAlignment="1">
      <alignment horizontal="center"/>
    </xf>
    <xf numFmtId="164" fontId="19" fillId="5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23" fillId="0" borderId="0" xfId="0" applyNumberFormat="1" applyFont="1"/>
    <xf numFmtId="2" fontId="1" fillId="0" borderId="0" xfId="0" applyNumberFormat="1" applyFont="1"/>
    <xf numFmtId="42" fontId="0" fillId="0" borderId="0" xfId="0" applyNumberFormat="1"/>
    <xf numFmtId="0" fontId="6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2" fontId="1" fillId="5" borderId="0" xfId="0" applyNumberFormat="1" applyFont="1" applyFill="1" applyAlignment="1">
      <alignment horizontal="center"/>
    </xf>
    <xf numFmtId="42" fontId="4" fillId="5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2" fontId="9" fillId="3" borderId="0" xfId="0" applyNumberFormat="1" applyFont="1" applyFill="1" applyAlignment="1">
      <alignment horizontal="center"/>
    </xf>
    <xf numFmtId="165" fontId="9" fillId="4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8" fillId="0" borderId="0" xfId="0" applyFont="1"/>
    <xf numFmtId="42" fontId="1" fillId="3" borderId="0" xfId="0" applyNumberFormat="1" applyFont="1" applyFill="1" applyAlignment="1">
      <alignment vertical="center"/>
    </xf>
    <xf numFmtId="1" fontId="9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29</xdr:row>
      <xdr:rowOff>165100</xdr:rowOff>
    </xdr:from>
    <xdr:to>
      <xdr:col>0</xdr:col>
      <xdr:colOff>1440180</xdr:colOff>
      <xdr:row>53</xdr:row>
      <xdr:rowOff>140463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D02DDB1-936E-48A5-89B9-622D1F88E5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88570"/>
        <a:stretch/>
      </xdr:blipFill>
      <xdr:spPr>
        <a:xfrm>
          <a:off x="38101" y="6051550"/>
          <a:ext cx="1402079" cy="4026663"/>
        </a:xfrm>
        <a:prstGeom prst="rect">
          <a:avLst/>
        </a:prstGeom>
      </xdr:spPr>
    </xdr:pic>
    <xdr:clientData/>
  </xdr:twoCellAnchor>
  <xdr:twoCellAnchor editAs="oneCell">
    <xdr:from>
      <xdr:col>0</xdr:col>
      <xdr:colOff>883920</xdr:colOff>
      <xdr:row>33</xdr:row>
      <xdr:rowOff>13970</xdr:rowOff>
    </xdr:from>
    <xdr:to>
      <xdr:col>0</xdr:col>
      <xdr:colOff>1504950</xdr:colOff>
      <xdr:row>53</xdr:row>
      <xdr:rowOff>44450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2669252-6D1A-4A78-81B0-BA54D100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" y="6598920"/>
          <a:ext cx="621030" cy="3395980"/>
        </a:xfrm>
        <a:prstGeom prst="rect">
          <a:avLst/>
        </a:prstGeom>
      </xdr:spPr>
    </xdr:pic>
    <xdr:clientData/>
  </xdr:twoCellAnchor>
  <xdr:twoCellAnchor editAs="oneCell">
    <xdr:from>
      <xdr:col>4</xdr:col>
      <xdr:colOff>936171</xdr:colOff>
      <xdr:row>0</xdr:row>
      <xdr:rowOff>108201</xdr:rowOff>
    </xdr:from>
    <xdr:to>
      <xdr:col>5</xdr:col>
      <xdr:colOff>315686</xdr:colOff>
      <xdr:row>2</xdr:row>
      <xdr:rowOff>137861</xdr:rowOff>
    </xdr:to>
    <xdr:pic>
      <xdr:nvPicPr>
        <xdr:cNvPr id="7" name="Afbeelding 6" descr="Welkom - De website van jeeigenklavertje4!">
          <a:extLst>
            <a:ext uri="{FF2B5EF4-FFF2-40B4-BE49-F238E27FC236}">
              <a16:creationId xmlns:a16="http://schemas.microsoft.com/office/drawing/2014/main" id="{B4106DE1-1267-4CBB-8BA8-79461ED6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85" y="108201"/>
          <a:ext cx="522515" cy="508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46"/>
  <sheetViews>
    <sheetView tabSelected="1" topLeftCell="J51" zoomScale="120" zoomScaleNormal="120" workbookViewId="0">
      <selection activeCell="Q146" sqref="Q146"/>
    </sheetView>
  </sheetViews>
  <sheetFormatPr defaultRowHeight="13.2" x14ac:dyDescent="0.25"/>
  <cols>
    <col min="1" max="1" width="25.77734375" customWidth="1"/>
    <col min="2" max="2" width="20.5546875" bestFit="1" customWidth="1"/>
    <col min="4" max="4" width="16.77734375" bestFit="1" customWidth="1"/>
    <col min="5" max="6" width="16.6640625" bestFit="1" customWidth="1"/>
    <col min="7" max="7" width="19.5546875" bestFit="1" customWidth="1"/>
    <col min="9" max="9" width="3.77734375" customWidth="1"/>
    <col min="10" max="10" width="10.77734375" customWidth="1"/>
    <col min="11" max="11" width="3.77734375" customWidth="1"/>
    <col min="12" max="12" width="22.77734375" customWidth="1"/>
    <col min="13" max="13" width="14.77734375" customWidth="1"/>
    <col min="15" max="15" width="16.77734375" bestFit="1" customWidth="1"/>
    <col min="16" max="16" width="12.21875" bestFit="1" customWidth="1"/>
    <col min="17" max="17" width="19" bestFit="1" customWidth="1"/>
    <col min="18" max="18" width="17" bestFit="1" customWidth="1"/>
    <col min="19" max="19" width="12.77734375" customWidth="1"/>
    <col min="20" max="20" width="12.21875" bestFit="1" customWidth="1"/>
    <col min="21" max="21" width="9.88671875" bestFit="1" customWidth="1"/>
    <col min="22" max="22" width="11.5546875" bestFit="1" customWidth="1"/>
  </cols>
  <sheetData>
    <row r="2" spans="1:22" ht="24.6" x14ac:dyDescent="0.4">
      <c r="A2" s="82" t="s">
        <v>49</v>
      </c>
      <c r="B2" s="49"/>
      <c r="G2" t="s">
        <v>174</v>
      </c>
    </row>
    <row r="4" spans="1:22" ht="21" x14ac:dyDescent="0.4">
      <c r="A4" s="5"/>
      <c r="B4" s="49" t="s">
        <v>70</v>
      </c>
      <c r="C4" s="44"/>
      <c r="D4" t="s">
        <v>7</v>
      </c>
      <c r="F4" s="2"/>
      <c r="G4" t="s">
        <v>8</v>
      </c>
      <c r="M4" s="55"/>
      <c r="N4" t="s">
        <v>54</v>
      </c>
    </row>
    <row r="5" spans="1:22" ht="17.399999999999999" x14ac:dyDescent="0.3">
      <c r="A5" s="5"/>
      <c r="C5" t="s">
        <v>173</v>
      </c>
      <c r="G5" s="134"/>
      <c r="H5" s="134"/>
      <c r="N5" s="13"/>
    </row>
    <row r="6" spans="1:22" ht="17.399999999999999" x14ac:dyDescent="0.3">
      <c r="A6" s="7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6"/>
      <c r="O6" s="66"/>
      <c r="P6" s="66"/>
      <c r="Q6" s="66"/>
      <c r="R6" s="66"/>
      <c r="S6" s="66"/>
      <c r="T6" s="66"/>
      <c r="U6" s="66"/>
      <c r="V6" s="66"/>
    </row>
    <row r="7" spans="1:22" ht="24.6" x14ac:dyDescent="0.4">
      <c r="A7" s="82" t="s">
        <v>9</v>
      </c>
      <c r="C7" s="66"/>
      <c r="K7" s="66"/>
      <c r="L7" s="82" t="s">
        <v>59</v>
      </c>
      <c r="N7" s="76"/>
    </row>
    <row r="8" spans="1:22" x14ac:dyDescent="0.25">
      <c r="A8" s="66"/>
      <c r="B8" s="66"/>
      <c r="C8" s="66"/>
      <c r="K8" s="66"/>
      <c r="L8" s="66"/>
      <c r="M8" s="66"/>
      <c r="N8" s="66"/>
    </row>
    <row r="9" spans="1:22" ht="17.399999999999999" x14ac:dyDescent="0.3">
      <c r="A9" s="5" t="s">
        <v>14</v>
      </c>
      <c r="B9" s="33" t="s">
        <v>18</v>
      </c>
      <c r="K9" s="66"/>
    </row>
    <row r="10" spans="1:22" ht="17.399999999999999" x14ac:dyDescent="0.3">
      <c r="A10" s="5"/>
      <c r="B10" s="33"/>
      <c r="K10" s="66"/>
      <c r="N10" s="1"/>
    </row>
    <row r="11" spans="1:22" ht="15.6" x14ac:dyDescent="0.3">
      <c r="A11" s="10" t="s">
        <v>175</v>
      </c>
      <c r="B11" s="41"/>
      <c r="C11" s="29" t="s">
        <v>1</v>
      </c>
      <c r="D11" s="128" t="s">
        <v>171</v>
      </c>
      <c r="E11" s="80">
        <f>(0.337+(0.116*B12)+(0.06*B13))*B11</f>
        <v>0</v>
      </c>
      <c r="F11" s="128" t="s">
        <v>5</v>
      </c>
      <c r="G11" s="120">
        <f>(B11*((B13/100)*B15))+(B11*((B12*B15*0.67)/100))</f>
        <v>0</v>
      </c>
      <c r="K11" s="66"/>
      <c r="L11" s="10" t="s">
        <v>61</v>
      </c>
      <c r="M11" s="77" t="s">
        <v>60</v>
      </c>
      <c r="N11" s="45"/>
      <c r="O11" s="32" t="s">
        <v>2</v>
      </c>
      <c r="P11" s="10" t="s">
        <v>13</v>
      </c>
      <c r="R11" s="136" t="e">
        <f>N24*N23</f>
        <v>#DIV/0!</v>
      </c>
      <c r="S11" s="79" t="s">
        <v>58</v>
      </c>
      <c r="T11" s="65" t="e">
        <f>(0.337+(0.116*R12)+(0.06*R13))*R11</f>
        <v>#DIV/0!</v>
      </c>
      <c r="U11" s="128" t="s">
        <v>5</v>
      </c>
      <c r="V11" s="61" t="e">
        <f>(R11*((R13/100)*R15))+(R11*((R12*R15*0.67)/100))</f>
        <v>#DIV/0!</v>
      </c>
    </row>
    <row r="12" spans="1:22" ht="13.8" x14ac:dyDescent="0.25">
      <c r="A12" s="31" t="s">
        <v>10</v>
      </c>
      <c r="B12" s="41"/>
      <c r="C12" s="29" t="s">
        <v>2</v>
      </c>
      <c r="F12" s="128" t="s">
        <v>62</v>
      </c>
      <c r="G12" s="120">
        <f>B23*B16</f>
        <v>0</v>
      </c>
      <c r="K12" s="66"/>
      <c r="L12" s="32"/>
      <c r="M12" s="10" t="s">
        <v>10</v>
      </c>
      <c r="N12" s="45"/>
      <c r="O12" s="32" t="s">
        <v>2</v>
      </c>
      <c r="P12" s="31" t="s">
        <v>10</v>
      </c>
      <c r="R12" s="38">
        <f t="shared" ref="R12:R13" si="0">((100-N12)/100)*B12</f>
        <v>0</v>
      </c>
      <c r="T12" s="1"/>
      <c r="U12" s="128" t="s">
        <v>62</v>
      </c>
      <c r="V12" s="46" t="e">
        <f>R16*N23</f>
        <v>#DIV/0!</v>
      </c>
    </row>
    <row r="13" spans="1:22" ht="13.8" x14ac:dyDescent="0.25">
      <c r="A13" s="31" t="s">
        <v>11</v>
      </c>
      <c r="B13" s="41"/>
      <c r="C13" s="29" t="s">
        <v>2</v>
      </c>
      <c r="D13" s="3"/>
      <c r="E13" s="3"/>
      <c r="F13" s="128"/>
      <c r="G13" s="94"/>
      <c r="H13" s="8"/>
      <c r="I13" s="8"/>
      <c r="J13" s="8"/>
      <c r="K13" s="67"/>
      <c r="L13" s="14"/>
      <c r="M13" s="10" t="s">
        <v>11</v>
      </c>
      <c r="N13" s="45"/>
      <c r="O13" s="32" t="s">
        <v>2</v>
      </c>
      <c r="P13" s="31" t="s">
        <v>11</v>
      </c>
      <c r="R13" s="131">
        <f t="shared" si="0"/>
        <v>0</v>
      </c>
      <c r="T13" s="1"/>
      <c r="U13" s="128"/>
      <c r="V13" s="20"/>
    </row>
    <row r="14" spans="1:22" ht="15.6" x14ac:dyDescent="0.3">
      <c r="A14" s="10"/>
      <c r="B14" s="1"/>
      <c r="C14" s="29" t="s">
        <v>2</v>
      </c>
      <c r="D14" s="1"/>
      <c r="E14" s="1"/>
      <c r="F14" s="128" t="s">
        <v>4</v>
      </c>
      <c r="G14" s="54">
        <f>G11+G12</f>
        <v>0</v>
      </c>
      <c r="H14" s="7"/>
      <c r="K14" s="66"/>
      <c r="L14" s="35"/>
      <c r="M14" s="10"/>
      <c r="N14" s="35"/>
      <c r="O14" s="32"/>
      <c r="P14" s="10"/>
      <c r="R14" s="35"/>
      <c r="T14" s="1"/>
      <c r="U14" s="128" t="s">
        <v>4</v>
      </c>
      <c r="V14" s="50" t="e">
        <f>V11+V12</f>
        <v>#DIV/0!</v>
      </c>
    </row>
    <row r="15" spans="1:22" ht="13.8" x14ac:dyDescent="0.25">
      <c r="A15" s="31" t="s">
        <v>12</v>
      </c>
      <c r="B15" s="42"/>
      <c r="C15" t="s">
        <v>17</v>
      </c>
      <c r="D15" s="14"/>
      <c r="E15" s="14"/>
      <c r="F15" s="129"/>
      <c r="G15" s="15"/>
      <c r="H15" s="16"/>
      <c r="I15" s="16"/>
      <c r="J15" s="16"/>
      <c r="K15" s="68"/>
      <c r="L15" s="17"/>
      <c r="M15" s="10"/>
      <c r="O15" s="32"/>
      <c r="P15" s="31" t="s">
        <v>12</v>
      </c>
      <c r="R15" s="132"/>
      <c r="S15" s="81"/>
      <c r="T15" s="1"/>
      <c r="U15" s="133"/>
    </row>
    <row r="16" spans="1:22" ht="13.8" x14ac:dyDescent="0.25">
      <c r="A16" s="31" t="s">
        <v>15</v>
      </c>
      <c r="B16" s="43"/>
      <c r="C16" t="s">
        <v>16</v>
      </c>
      <c r="D16" s="1"/>
      <c r="E16" s="1"/>
      <c r="F16" s="130" t="s">
        <v>114</v>
      </c>
      <c r="G16" s="93" t="e">
        <f>G14/B23</f>
        <v>#DIV/0!</v>
      </c>
      <c r="K16" s="66"/>
      <c r="L16" s="32"/>
      <c r="M16" s="10"/>
      <c r="N16" s="35" t="s">
        <v>63</v>
      </c>
      <c r="O16" s="32"/>
      <c r="P16" s="31" t="s">
        <v>15</v>
      </c>
      <c r="R16" s="41"/>
      <c r="T16" s="1"/>
      <c r="U16" s="128" t="s">
        <v>114</v>
      </c>
      <c r="V16" s="97" t="e">
        <f>V14/N23</f>
        <v>#DIV/0!</v>
      </c>
    </row>
    <row r="17" spans="1:21" ht="15.6" x14ac:dyDescent="0.3">
      <c r="A17" s="100" t="s">
        <v>100</v>
      </c>
      <c r="B17" s="96" t="e">
        <f>B103</f>
        <v>#DIV/0!</v>
      </c>
      <c r="C17" s="29" t="s">
        <v>117</v>
      </c>
      <c r="D17" s="18"/>
      <c r="E17" s="1"/>
      <c r="F17" s="9"/>
      <c r="G17" s="9"/>
      <c r="H17" s="19"/>
      <c r="I17" s="19"/>
      <c r="J17" s="19"/>
      <c r="K17" s="69"/>
      <c r="L17" s="78"/>
      <c r="M17" s="32"/>
      <c r="N17" s="35"/>
      <c r="O17" s="32"/>
      <c r="P17" s="100" t="s">
        <v>100</v>
      </c>
      <c r="Q17" s="1"/>
      <c r="R17" s="96" t="e">
        <f>M103</f>
        <v>#DIV/0!</v>
      </c>
      <c r="S17" s="101" t="s">
        <v>118</v>
      </c>
    </row>
    <row r="18" spans="1:21" ht="15.6" x14ac:dyDescent="0.3">
      <c r="A18" s="100" t="s">
        <v>100</v>
      </c>
      <c r="B18" s="109" t="e">
        <f>(B23+(B25*0.25)+(B26*0.5))/B73</f>
        <v>#DIV/0!</v>
      </c>
      <c r="C18" s="29" t="s">
        <v>144</v>
      </c>
      <c r="D18" s="18"/>
      <c r="E18" s="1"/>
      <c r="F18" s="9"/>
      <c r="G18" s="9"/>
      <c r="H18" s="19"/>
      <c r="I18" s="19"/>
      <c r="J18" s="19"/>
      <c r="K18" s="69"/>
      <c r="N18" s="1"/>
      <c r="P18" s="100" t="s">
        <v>100</v>
      </c>
      <c r="Q18" s="47"/>
      <c r="R18" s="121" t="e">
        <f>((N23+(N25*0.25)+(N26*0.5))/M73)</f>
        <v>#DIV/0!</v>
      </c>
      <c r="S18" s="29" t="s">
        <v>144</v>
      </c>
    </row>
    <row r="19" spans="1:21" ht="15.6" x14ac:dyDescent="0.3">
      <c r="A19" s="100"/>
      <c r="B19" s="127"/>
      <c r="C19" s="29"/>
      <c r="D19" s="18"/>
      <c r="E19" s="1"/>
      <c r="F19" s="9"/>
      <c r="G19" s="9"/>
      <c r="H19" s="19"/>
      <c r="I19" s="19"/>
      <c r="J19" s="19"/>
      <c r="K19" s="69"/>
      <c r="N19" s="1"/>
      <c r="P19" s="100"/>
      <c r="Q19" s="47"/>
      <c r="R19" s="121"/>
      <c r="S19" s="29"/>
    </row>
    <row r="20" spans="1:21" ht="15.6" x14ac:dyDescent="0.3">
      <c r="A20" s="100"/>
      <c r="B20" s="127"/>
      <c r="C20" s="29"/>
      <c r="D20" s="18"/>
      <c r="E20" s="1"/>
      <c r="F20" s="9"/>
      <c r="G20" s="9"/>
      <c r="H20" s="19"/>
      <c r="I20" s="19"/>
      <c r="J20" s="19"/>
      <c r="K20" s="69"/>
      <c r="N20" s="1"/>
      <c r="P20" s="100"/>
      <c r="Q20" s="47"/>
      <c r="R20" s="121"/>
      <c r="S20" s="29"/>
    </row>
    <row r="21" spans="1:21" ht="22.8" x14ac:dyDescent="0.4">
      <c r="A21" s="83" t="s">
        <v>19</v>
      </c>
      <c r="B21" s="34" t="s">
        <v>20</v>
      </c>
      <c r="D21" s="18"/>
      <c r="E21" s="1"/>
      <c r="F21" s="9"/>
      <c r="G21" s="9"/>
      <c r="H21" s="19"/>
      <c r="I21" s="19"/>
      <c r="J21" s="19"/>
      <c r="K21" s="69"/>
      <c r="L21" s="39" t="s">
        <v>19</v>
      </c>
      <c r="N21" s="1"/>
    </row>
    <row r="22" spans="1:21" x14ac:dyDescent="0.25">
      <c r="A22" s="29"/>
      <c r="D22" s="1"/>
      <c r="E22" s="1"/>
      <c r="F22" s="9"/>
      <c r="G22" s="9"/>
      <c r="K22" s="66"/>
    </row>
    <row r="23" spans="1:21" ht="13.8" x14ac:dyDescent="0.25">
      <c r="A23" s="29" t="s">
        <v>77</v>
      </c>
      <c r="B23" s="41"/>
      <c r="C23" s="32" t="s">
        <v>24</v>
      </c>
      <c r="D23" s="36" t="s">
        <v>163</v>
      </c>
      <c r="E23" s="87"/>
      <c r="F23" s="37" t="s">
        <v>25</v>
      </c>
      <c r="G23" s="9" t="s">
        <v>164</v>
      </c>
      <c r="H23" s="87"/>
      <c r="I23" t="s">
        <v>165</v>
      </c>
      <c r="K23" s="66"/>
      <c r="L23" s="36" t="s">
        <v>21</v>
      </c>
      <c r="M23" s="32"/>
      <c r="N23" s="58" t="e">
        <f>E38/N27</f>
        <v>#DIV/0!</v>
      </c>
      <c r="O23" s="29" t="s">
        <v>24</v>
      </c>
      <c r="Q23" s="1" t="s">
        <v>131</v>
      </c>
      <c r="T23" s="1" t="s">
        <v>131</v>
      </c>
    </row>
    <row r="24" spans="1:21" ht="15.6" x14ac:dyDescent="0.3">
      <c r="A24" t="s">
        <v>26</v>
      </c>
      <c r="B24" s="92" t="e">
        <f>B11/B23</f>
        <v>#DIV/0!</v>
      </c>
      <c r="C24" t="s">
        <v>1</v>
      </c>
      <c r="G24" s="9"/>
      <c r="K24" s="66"/>
      <c r="L24" s="32" t="s">
        <v>26</v>
      </c>
      <c r="M24" s="32"/>
      <c r="N24" s="58" t="e">
        <f>B24*((100-N11)/100)</f>
        <v>#DIV/0!</v>
      </c>
      <c r="O24" s="29" t="s">
        <v>1</v>
      </c>
      <c r="P24" s="7" t="s">
        <v>172</v>
      </c>
      <c r="Q24" s="88"/>
      <c r="R24" s="7" t="s">
        <v>27</v>
      </c>
      <c r="S24" s="126" t="s">
        <v>164</v>
      </c>
      <c r="T24" s="87"/>
      <c r="U24" s="7" t="s">
        <v>165</v>
      </c>
    </row>
    <row r="25" spans="1:21" ht="13.8" x14ac:dyDescent="0.25">
      <c r="A25" s="29" t="s">
        <v>22</v>
      </c>
      <c r="B25" s="41"/>
      <c r="C25" s="32" t="s">
        <v>24</v>
      </c>
      <c r="D25" s="36" t="s">
        <v>6</v>
      </c>
      <c r="E25" s="38">
        <v>9.6</v>
      </c>
      <c r="F25" s="37" t="s">
        <v>25</v>
      </c>
      <c r="G25" s="4" t="s">
        <v>65</v>
      </c>
      <c r="H25" s="121" t="e">
        <f>(B25/B23)*100</f>
        <v>#DIV/0!</v>
      </c>
      <c r="I25" s="7" t="s">
        <v>2</v>
      </c>
      <c r="J25" s="7"/>
      <c r="K25" s="70"/>
      <c r="L25" s="36" t="s">
        <v>146</v>
      </c>
      <c r="M25" s="14"/>
      <c r="N25" s="58" t="e">
        <f>N23*H25/100</f>
        <v>#DIV/0!</v>
      </c>
      <c r="O25" s="29" t="s">
        <v>24</v>
      </c>
      <c r="P25" s="4"/>
    </row>
    <row r="26" spans="1:21" ht="13.8" x14ac:dyDescent="0.25">
      <c r="A26" s="29" t="s">
        <v>23</v>
      </c>
      <c r="B26" s="41"/>
      <c r="C26" s="32" t="s">
        <v>24</v>
      </c>
      <c r="D26" s="36" t="s">
        <v>6</v>
      </c>
      <c r="E26" s="38">
        <v>21.9</v>
      </c>
      <c r="F26" s="37" t="s">
        <v>25</v>
      </c>
      <c r="G26" s="4" t="s">
        <v>64</v>
      </c>
      <c r="H26" s="121" t="e">
        <f>(B26/B23)*100</f>
        <v>#DIV/0!</v>
      </c>
      <c r="I26" s="7" t="s">
        <v>2</v>
      </c>
      <c r="J26" s="7"/>
      <c r="K26" s="70"/>
      <c r="L26" s="36" t="s">
        <v>145</v>
      </c>
      <c r="M26" s="14"/>
      <c r="N26" s="58" t="e">
        <f>H26/100*N23</f>
        <v>#DIV/0!</v>
      </c>
      <c r="O26" s="29" t="s">
        <v>24</v>
      </c>
      <c r="P26" s="4"/>
    </row>
    <row r="27" spans="1:21" ht="13.8" x14ac:dyDescent="0.25">
      <c r="A27" s="30" t="s">
        <v>113</v>
      </c>
      <c r="B27" s="85" t="e">
        <f>(H25*E25/100)+(H26*E26/100)+E23</f>
        <v>#DIV/0!</v>
      </c>
      <c r="C27" s="29" t="s">
        <v>167</v>
      </c>
      <c r="D27" s="36"/>
      <c r="E27" s="35"/>
      <c r="F27" s="37"/>
      <c r="G27" s="4"/>
      <c r="H27" s="57"/>
      <c r="I27" s="7"/>
      <c r="J27" s="7"/>
      <c r="K27" s="70"/>
      <c r="L27" s="31" t="s">
        <v>113</v>
      </c>
      <c r="M27" s="14"/>
      <c r="N27" s="59" t="e">
        <f>(H25/100*E25)+(H26/100*E26)+Q24</f>
        <v>#DIV/0!</v>
      </c>
      <c r="O27" s="29"/>
      <c r="P27" s="4"/>
    </row>
    <row r="28" spans="1:21" ht="13.8" x14ac:dyDescent="0.25">
      <c r="A28" s="30"/>
      <c r="B28" s="86"/>
      <c r="C28" s="29"/>
      <c r="D28" s="36"/>
      <c r="E28" s="35"/>
      <c r="F28" s="37"/>
      <c r="G28" s="4"/>
      <c r="H28" s="57"/>
      <c r="I28" s="7"/>
      <c r="J28" s="7"/>
      <c r="K28" s="70"/>
      <c r="L28" s="31"/>
      <c r="M28" s="14"/>
      <c r="N28" s="59"/>
      <c r="O28" s="29"/>
      <c r="P28" s="4"/>
    </row>
    <row r="29" spans="1:21" ht="13.8" x14ac:dyDescent="0.25">
      <c r="A29" s="30" t="s">
        <v>169</v>
      </c>
      <c r="B29" s="86"/>
      <c r="C29" s="29"/>
      <c r="D29" s="36"/>
      <c r="E29" s="35"/>
      <c r="F29" s="37"/>
      <c r="G29" s="4"/>
      <c r="H29" s="57"/>
      <c r="I29" s="7"/>
      <c r="J29" s="7"/>
      <c r="K29" s="70"/>
      <c r="L29" s="30" t="s">
        <v>169</v>
      </c>
      <c r="M29" s="86"/>
      <c r="N29" s="29"/>
      <c r="O29" s="36"/>
      <c r="P29" s="35"/>
      <c r="Q29" s="37"/>
      <c r="R29" s="4"/>
    </row>
    <row r="30" spans="1:21" x14ac:dyDescent="0.25">
      <c r="A30" s="7" t="s">
        <v>166</v>
      </c>
      <c r="B30" s="92" t="e">
        <f>H23+((H25*33)/100)+((H26*66)/100)</f>
        <v>#DIV/0!</v>
      </c>
      <c r="C30" s="125" t="s">
        <v>167</v>
      </c>
      <c r="D30" s="29" t="s">
        <v>168</v>
      </c>
      <c r="E30" s="21"/>
      <c r="F30" s="92" t="e">
        <f>(B30*B23)/170</f>
        <v>#DIV/0!</v>
      </c>
      <c r="G30" s="29" t="s">
        <v>28</v>
      </c>
      <c r="K30" s="66"/>
      <c r="L30" s="7" t="s">
        <v>166</v>
      </c>
      <c r="M30" s="92" t="e">
        <f>T24+((H25*33)/100)+((H26*66)/100)</f>
        <v>#DIV/0!</v>
      </c>
      <c r="N30" s="125" t="s">
        <v>167</v>
      </c>
      <c r="O30" s="29" t="s">
        <v>168</v>
      </c>
      <c r="P30" s="21"/>
      <c r="Q30" s="92" t="e">
        <f>(M30*N23)/170</f>
        <v>#DIV/0!</v>
      </c>
      <c r="R30" s="29" t="s">
        <v>28</v>
      </c>
    </row>
    <row r="31" spans="1:21" ht="13.8" x14ac:dyDescent="0.25">
      <c r="A31" s="7"/>
      <c r="C31" s="9"/>
      <c r="D31" s="29" t="s">
        <v>170</v>
      </c>
      <c r="E31" s="3"/>
      <c r="F31" s="58" t="e">
        <f>B73-F30</f>
        <v>#DIV/0!</v>
      </c>
      <c r="G31" s="29" t="s">
        <v>28</v>
      </c>
      <c r="K31" s="66"/>
      <c r="L31" s="7"/>
      <c r="N31" s="9"/>
      <c r="O31" s="29" t="s">
        <v>170</v>
      </c>
      <c r="P31" s="3"/>
      <c r="Q31" s="58" t="e">
        <f>M73-Q30</f>
        <v>#DIV/0!</v>
      </c>
      <c r="R31" s="29" t="s">
        <v>28</v>
      </c>
    </row>
    <row r="32" spans="1:21" ht="13.8" x14ac:dyDescent="0.25">
      <c r="A32" s="7"/>
      <c r="C32" s="9"/>
      <c r="D32" s="1"/>
      <c r="E32" s="21"/>
      <c r="F32" s="1"/>
      <c r="G32" s="22"/>
      <c r="K32" s="66"/>
      <c r="L32" s="35"/>
      <c r="M32" s="37"/>
      <c r="N32" s="9"/>
      <c r="O32" s="21"/>
      <c r="P32" s="23"/>
    </row>
    <row r="33" spans="1:16" x14ac:dyDescent="0.25">
      <c r="A33" s="7"/>
      <c r="C33" s="9"/>
      <c r="D33" s="1"/>
      <c r="E33" s="3"/>
      <c r="F33" s="1"/>
      <c r="G33" s="1"/>
      <c r="K33" s="66"/>
      <c r="L33" s="1"/>
      <c r="M33" s="1"/>
      <c r="N33" s="9"/>
      <c r="O33" s="21"/>
      <c r="P33" s="7"/>
    </row>
    <row r="34" spans="1:16" x14ac:dyDescent="0.25">
      <c r="A34" s="7"/>
      <c r="C34" s="9"/>
      <c r="D34" s="1"/>
      <c r="E34" s="21"/>
      <c r="F34" s="1"/>
      <c r="G34" s="22"/>
      <c r="K34" s="66"/>
      <c r="L34" s="1"/>
      <c r="M34" s="9"/>
      <c r="N34" s="9"/>
      <c r="O34" s="21"/>
      <c r="P34" s="23"/>
    </row>
    <row r="35" spans="1:16" x14ac:dyDescent="0.25">
      <c r="K35" s="66"/>
    </row>
    <row r="36" spans="1:16" ht="15.6" x14ac:dyDescent="0.3">
      <c r="B36" s="7" t="s">
        <v>55</v>
      </c>
      <c r="C36" s="6"/>
      <c r="D36" s="7"/>
      <c r="E36" s="4"/>
      <c r="F36" s="11"/>
      <c r="G36" s="4"/>
      <c r="H36" s="3"/>
      <c r="I36" s="3"/>
      <c r="J36" s="3"/>
      <c r="K36" s="71"/>
      <c r="L36" s="7"/>
    </row>
    <row r="37" spans="1:16" x14ac:dyDescent="0.25">
      <c r="C37" s="4"/>
      <c r="D37" s="7"/>
      <c r="E37" s="4"/>
      <c r="F37" s="11"/>
      <c r="G37" s="4"/>
      <c r="H37" s="3"/>
      <c r="I37" s="3"/>
      <c r="J37" s="3"/>
      <c r="K37" s="71"/>
      <c r="L37" s="7"/>
      <c r="M37" s="8"/>
      <c r="N37" s="3"/>
    </row>
    <row r="38" spans="1:16" ht="15.6" x14ac:dyDescent="0.3">
      <c r="C38" s="4"/>
      <c r="E38" s="51">
        <f>(B23*E23)+(B25*E25)+(B26*E26)</f>
        <v>0</v>
      </c>
      <c r="F38" s="40" t="s">
        <v>27</v>
      </c>
      <c r="G38" s="12"/>
      <c r="H38" s="1"/>
      <c r="I38" s="1"/>
      <c r="J38" s="1"/>
      <c r="K38" s="72"/>
      <c r="M38" s="8"/>
      <c r="N38" s="3"/>
    </row>
    <row r="39" spans="1:16" x14ac:dyDescent="0.25">
      <c r="C39" s="4"/>
      <c r="E39" s="12"/>
      <c r="F39" s="12"/>
      <c r="G39" s="12"/>
      <c r="H39" s="1"/>
      <c r="I39" s="1"/>
      <c r="J39" s="1"/>
      <c r="K39" s="72"/>
    </row>
    <row r="40" spans="1:16" x14ac:dyDescent="0.25">
      <c r="A40" s="7"/>
      <c r="C40" s="9"/>
      <c r="E40" s="9"/>
      <c r="F40" s="9"/>
      <c r="G40" s="24"/>
      <c r="H40" s="1"/>
      <c r="I40" s="1"/>
      <c r="J40" s="1"/>
      <c r="K40" s="72"/>
    </row>
    <row r="41" spans="1:16" x14ac:dyDescent="0.25">
      <c r="A41" s="7"/>
      <c r="C41" s="1"/>
      <c r="E41" s="25"/>
      <c r="F41" s="25"/>
      <c r="G41" s="26"/>
      <c r="H41" s="22"/>
      <c r="I41" s="22"/>
      <c r="J41" s="22"/>
      <c r="K41" s="73"/>
      <c r="M41" s="23"/>
    </row>
    <row r="42" spans="1:16" x14ac:dyDescent="0.25">
      <c r="A42" s="7"/>
      <c r="C42" s="1"/>
      <c r="E42" s="25"/>
      <c r="F42" s="25"/>
      <c r="G42" s="26"/>
      <c r="H42" s="22"/>
      <c r="I42" s="22"/>
      <c r="J42" s="22"/>
      <c r="K42" s="73"/>
      <c r="M42" s="23"/>
    </row>
    <row r="43" spans="1:16" x14ac:dyDescent="0.25">
      <c r="A43" s="7"/>
      <c r="C43" s="27"/>
      <c r="E43" s="9"/>
      <c r="F43" s="9"/>
      <c r="G43" s="24"/>
      <c r="H43" s="22"/>
      <c r="I43" s="22"/>
      <c r="J43" s="22"/>
      <c r="K43" s="73"/>
      <c r="M43" s="7"/>
    </row>
    <row r="44" spans="1:16" x14ac:dyDescent="0.25">
      <c r="A44" s="7"/>
      <c r="C44" s="27"/>
      <c r="E44" s="22"/>
      <c r="F44" s="22"/>
      <c r="G44" s="20"/>
      <c r="H44" s="22"/>
      <c r="I44" s="22"/>
      <c r="J44" s="22"/>
      <c r="K44" s="73"/>
      <c r="M44" s="23"/>
      <c r="N44" s="23"/>
    </row>
    <row r="45" spans="1:16" x14ac:dyDescent="0.25">
      <c r="A45" s="7"/>
      <c r="C45" s="27"/>
      <c r="E45" s="22"/>
      <c r="F45" s="22"/>
      <c r="G45" s="20"/>
      <c r="H45" s="22"/>
      <c r="I45" s="22"/>
      <c r="J45" s="22"/>
      <c r="K45" s="73"/>
      <c r="M45" s="23"/>
      <c r="N45" s="20"/>
    </row>
    <row r="46" spans="1:16" x14ac:dyDescent="0.25">
      <c r="A46" s="7" t="s">
        <v>3</v>
      </c>
      <c r="C46" s="27"/>
      <c r="E46" s="9"/>
      <c r="F46" s="9"/>
      <c r="G46" s="24"/>
      <c r="H46" s="22"/>
      <c r="I46" s="22"/>
      <c r="J46" s="22"/>
      <c r="K46" s="73"/>
      <c r="M46" s="7"/>
    </row>
    <row r="47" spans="1:16" x14ac:dyDescent="0.25">
      <c r="E47" s="22"/>
      <c r="F47" s="22"/>
      <c r="G47" s="22"/>
      <c r="H47" s="22"/>
      <c r="I47" s="22"/>
      <c r="J47" s="22"/>
      <c r="K47" s="73"/>
      <c r="M47" s="23"/>
      <c r="N47" s="23"/>
    </row>
    <row r="48" spans="1:16" x14ac:dyDescent="0.25">
      <c r="K48" s="66"/>
    </row>
    <row r="49" spans="1:17" x14ac:dyDescent="0.25">
      <c r="K49" s="66"/>
    </row>
    <row r="50" spans="1:17" x14ac:dyDescent="0.25">
      <c r="K50" s="66"/>
    </row>
    <row r="51" spans="1:17" x14ac:dyDescent="0.25">
      <c r="K51" s="66"/>
    </row>
    <row r="52" spans="1:17" x14ac:dyDescent="0.25">
      <c r="K52" s="66"/>
    </row>
    <row r="53" spans="1:17" x14ac:dyDescent="0.25">
      <c r="K53" s="66"/>
    </row>
    <row r="54" spans="1:17" x14ac:dyDescent="0.25">
      <c r="K54" s="66"/>
    </row>
    <row r="55" spans="1:17" x14ac:dyDescent="0.25">
      <c r="K55" s="66"/>
    </row>
    <row r="56" spans="1:17" ht="21" x14ac:dyDescent="0.4">
      <c r="A56" s="48" t="s">
        <v>45</v>
      </c>
      <c r="K56" s="66"/>
      <c r="L56" s="48" t="s">
        <v>45</v>
      </c>
    </row>
    <row r="57" spans="1:17" x14ac:dyDescent="0.25">
      <c r="B57" s="140"/>
      <c r="K57" s="66"/>
    </row>
    <row r="58" spans="1:17" x14ac:dyDescent="0.25">
      <c r="A58" t="s">
        <v>80</v>
      </c>
      <c r="B58" s="137" t="s">
        <v>176</v>
      </c>
      <c r="K58" s="66"/>
    </row>
    <row r="59" spans="1:17" x14ac:dyDescent="0.25">
      <c r="A59" t="s">
        <v>81</v>
      </c>
      <c r="B59" s="137" t="s">
        <v>177</v>
      </c>
      <c r="K59" s="66"/>
    </row>
    <row r="60" spans="1:17" x14ac:dyDescent="0.25">
      <c r="A60" t="s">
        <v>82</v>
      </c>
      <c r="B60" s="138">
        <v>46145</v>
      </c>
      <c r="K60" s="66"/>
    </row>
    <row r="61" spans="1:17" x14ac:dyDescent="0.25">
      <c r="A61" t="s">
        <v>83</v>
      </c>
      <c r="B61" s="137" t="s">
        <v>178</v>
      </c>
      <c r="K61" s="66"/>
      <c r="N61" s="3"/>
    </row>
    <row r="62" spans="1:17" ht="13.8" x14ac:dyDescent="0.25">
      <c r="A62" t="s">
        <v>84</v>
      </c>
      <c r="B62" s="139">
        <v>1</v>
      </c>
      <c r="K62" s="66"/>
      <c r="L62" s="32" t="s">
        <v>156</v>
      </c>
      <c r="M62" s="32"/>
      <c r="N62" s="119">
        <v>6</v>
      </c>
      <c r="O62" s="32" t="s">
        <v>89</v>
      </c>
    </row>
    <row r="63" spans="1:17" ht="15" x14ac:dyDescent="0.25">
      <c r="A63" t="s">
        <v>85</v>
      </c>
      <c r="B63" s="45"/>
      <c r="C63" t="s">
        <v>111</v>
      </c>
      <c r="E63" s="47"/>
      <c r="F63" s="85" t="e">
        <f>B23/B63</f>
        <v>#DIV/0!</v>
      </c>
      <c r="K63" s="66"/>
      <c r="L63" s="32" t="s">
        <v>87</v>
      </c>
      <c r="M63" s="32"/>
      <c r="N63" s="105" t="e">
        <f>N23/N62</f>
        <v>#DIV/0!</v>
      </c>
      <c r="O63" t="s">
        <v>90</v>
      </c>
    </row>
    <row r="64" spans="1:17" ht="15" x14ac:dyDescent="0.25">
      <c r="B64" s="35"/>
      <c r="E64" s="47"/>
      <c r="F64" s="86"/>
      <c r="K64" s="66"/>
      <c r="O64" s="7"/>
      <c r="Q64" s="7"/>
    </row>
    <row r="65" spans="1:22" ht="15" x14ac:dyDescent="0.25">
      <c r="B65" s="35"/>
      <c r="E65" s="47"/>
      <c r="F65" t="s">
        <v>160</v>
      </c>
      <c r="K65" s="66"/>
      <c r="O65" s="7" t="s">
        <v>66</v>
      </c>
      <c r="Q65" s="7" t="s">
        <v>66</v>
      </c>
    </row>
    <row r="66" spans="1:22" ht="13.8" x14ac:dyDescent="0.25">
      <c r="A66" t="s">
        <v>86</v>
      </c>
      <c r="B66" s="35"/>
      <c r="D66" s="7" t="s">
        <v>32</v>
      </c>
      <c r="E66" s="7"/>
      <c r="F66" s="7" t="s">
        <v>159</v>
      </c>
      <c r="G66" s="7"/>
      <c r="H66" s="3" t="s">
        <v>46</v>
      </c>
      <c r="I66" s="3"/>
      <c r="J66" s="7"/>
      <c r="K66" s="72"/>
      <c r="L66" t="s">
        <v>88</v>
      </c>
      <c r="O66" s="7" t="s">
        <v>32</v>
      </c>
      <c r="P66" s="7"/>
      <c r="Q66" s="7" t="s">
        <v>34</v>
      </c>
      <c r="R66" s="7"/>
      <c r="S66" s="7" t="s">
        <v>46</v>
      </c>
      <c r="T66" s="7"/>
      <c r="U66" s="7"/>
    </row>
    <row r="67" spans="1:22" ht="13.8" x14ac:dyDescent="0.25">
      <c r="A67" t="s">
        <v>29</v>
      </c>
      <c r="B67" s="45"/>
      <c r="C67" t="s">
        <v>28</v>
      </c>
      <c r="D67" s="45"/>
      <c r="E67" t="s">
        <v>33</v>
      </c>
      <c r="F67" s="108" t="e">
        <f>((D122+D123+D128)*B100)/(H67)</f>
        <v>#DIV/0!</v>
      </c>
      <c r="G67" t="s">
        <v>35</v>
      </c>
      <c r="H67" s="38">
        <f>B67*D67</f>
        <v>0</v>
      </c>
      <c r="I67" s="35"/>
      <c r="J67" s="78"/>
      <c r="K67" s="72"/>
      <c r="L67" t="s">
        <v>157</v>
      </c>
      <c r="M67" s="45"/>
      <c r="N67" s="32" t="s">
        <v>28</v>
      </c>
      <c r="O67" s="45"/>
      <c r="P67" s="32" t="s">
        <v>33</v>
      </c>
      <c r="Q67" s="107" t="e">
        <f>((O122+O123)*M100)/(S67)</f>
        <v>#DIV/0!</v>
      </c>
      <c r="R67" s="32" t="s">
        <v>35</v>
      </c>
      <c r="S67" s="60">
        <f>M67*O67</f>
        <v>0</v>
      </c>
      <c r="T67" s="32"/>
      <c r="U67" s="78"/>
    </row>
    <row r="68" spans="1:22" ht="13.8" x14ac:dyDescent="0.25">
      <c r="A68" t="s">
        <v>30</v>
      </c>
      <c r="B68" s="45"/>
      <c r="C68" t="s">
        <v>28</v>
      </c>
      <c r="D68" s="45"/>
      <c r="E68" t="s">
        <v>33</v>
      </c>
      <c r="F68" s="108" t="e">
        <f>((D122+D123)*B100)/H68</f>
        <v>#DIV/0!</v>
      </c>
      <c r="G68" t="s">
        <v>35</v>
      </c>
      <c r="H68" s="38">
        <f>B68*D68</f>
        <v>0</v>
      </c>
      <c r="I68" s="35"/>
      <c r="J68" s="78"/>
      <c r="K68" s="72"/>
      <c r="L68" t="s">
        <v>30</v>
      </c>
      <c r="M68" s="45"/>
      <c r="N68" s="32" t="s">
        <v>28</v>
      </c>
      <c r="O68" s="45"/>
      <c r="P68" s="32" t="s">
        <v>33</v>
      </c>
      <c r="Q68" s="107" t="e">
        <f>((O122+O123)*M100)/S68</f>
        <v>#DIV/0!</v>
      </c>
      <c r="R68" s="32" t="s">
        <v>35</v>
      </c>
      <c r="S68" s="60">
        <f>M68*O68</f>
        <v>0</v>
      </c>
      <c r="T68" s="32"/>
      <c r="U68" s="78"/>
    </row>
    <row r="69" spans="1:22" ht="13.8" x14ac:dyDescent="0.25">
      <c r="B69" s="45"/>
      <c r="C69" t="s">
        <v>28</v>
      </c>
      <c r="D69" s="45"/>
      <c r="E69" t="s">
        <v>33</v>
      </c>
      <c r="F69" s="108" t="e">
        <f>((D122+D123)*B100)/H69</f>
        <v>#DIV/0!</v>
      </c>
      <c r="G69" t="s">
        <v>35</v>
      </c>
      <c r="H69" s="38">
        <f>D69*B69</f>
        <v>0</v>
      </c>
      <c r="I69" s="35"/>
      <c r="J69" s="78"/>
      <c r="K69" s="72"/>
      <c r="M69" s="45"/>
      <c r="N69" s="32" t="s">
        <v>28</v>
      </c>
      <c r="O69" s="45"/>
      <c r="P69" s="32" t="s">
        <v>33</v>
      </c>
      <c r="Q69" s="107" t="e">
        <f>((O122+O123)*M100)/S69</f>
        <v>#DIV/0!</v>
      </c>
      <c r="R69" s="32" t="s">
        <v>35</v>
      </c>
      <c r="S69" s="60">
        <f>O69*M69</f>
        <v>0</v>
      </c>
      <c r="T69" s="32"/>
      <c r="U69" s="78"/>
    </row>
    <row r="70" spans="1:22" ht="13.8" x14ac:dyDescent="0.25">
      <c r="B70" s="45"/>
      <c r="C70" t="s">
        <v>28</v>
      </c>
      <c r="D70" s="41"/>
      <c r="E70" t="s">
        <v>33</v>
      </c>
      <c r="F70" s="108" t="e">
        <f>((D122+D123)*B100)/H70</f>
        <v>#DIV/0!</v>
      </c>
      <c r="G70" t="s">
        <v>35</v>
      </c>
      <c r="H70" s="38">
        <f>B70*D70</f>
        <v>0</v>
      </c>
      <c r="I70" s="35"/>
      <c r="J70" s="78"/>
      <c r="K70" s="72"/>
      <c r="M70" s="45"/>
      <c r="N70" s="32" t="s">
        <v>28</v>
      </c>
      <c r="O70" s="45"/>
      <c r="P70" s="32" t="s">
        <v>33</v>
      </c>
      <c r="Q70" s="107" t="e">
        <f>((O122+O123)*M100)/S70</f>
        <v>#DIV/0!</v>
      </c>
      <c r="R70" s="32" t="s">
        <v>35</v>
      </c>
      <c r="S70" s="60">
        <f>M70*O70</f>
        <v>0</v>
      </c>
      <c r="T70" s="32"/>
      <c r="U70" s="78"/>
    </row>
    <row r="71" spans="1:22" ht="13.8" x14ac:dyDescent="0.25">
      <c r="A71" t="s">
        <v>31</v>
      </c>
      <c r="B71" s="41"/>
      <c r="C71" t="s">
        <v>28</v>
      </c>
      <c r="D71" s="41"/>
      <c r="E71" t="s">
        <v>33</v>
      </c>
      <c r="F71" s="108">
        <v>0.04</v>
      </c>
      <c r="G71" t="s">
        <v>35</v>
      </c>
      <c r="H71" s="38">
        <f>B71*D71</f>
        <v>0</v>
      </c>
      <c r="I71" s="35"/>
      <c r="J71" s="78"/>
      <c r="K71" s="72"/>
      <c r="L71" t="s">
        <v>31</v>
      </c>
      <c r="M71" s="45"/>
      <c r="N71" s="32" t="s">
        <v>28</v>
      </c>
      <c r="O71" s="45"/>
      <c r="P71" s="32" t="s">
        <v>33</v>
      </c>
      <c r="Q71" s="107">
        <v>0.04</v>
      </c>
      <c r="R71" s="32" t="s">
        <v>35</v>
      </c>
      <c r="S71" s="60">
        <f>M71*O71</f>
        <v>0</v>
      </c>
      <c r="T71" s="32"/>
      <c r="U71" s="78"/>
    </row>
    <row r="72" spans="1:22" ht="13.8" x14ac:dyDescent="0.25">
      <c r="H72" s="7" t="s">
        <v>48</v>
      </c>
      <c r="J72" s="7"/>
      <c r="K72" s="66"/>
      <c r="M72" s="32"/>
      <c r="N72" s="32"/>
      <c r="S72" s="7" t="s">
        <v>48</v>
      </c>
      <c r="T72" s="7"/>
      <c r="U72" s="7"/>
      <c r="V72" s="7"/>
    </row>
    <row r="73" spans="1:22" ht="15.6" x14ac:dyDescent="0.3">
      <c r="A73" s="7" t="s">
        <v>47</v>
      </c>
      <c r="B73" s="52">
        <f>B67+B68+B69+B70+B71</f>
        <v>0</v>
      </c>
      <c r="C73" t="s">
        <v>28</v>
      </c>
      <c r="H73" s="53">
        <f>H67+H68+H69+H70+H71</f>
        <v>0</v>
      </c>
      <c r="I73" s="28" t="s">
        <v>147</v>
      </c>
      <c r="J73" s="110"/>
      <c r="K73" s="74"/>
      <c r="L73" t="s">
        <v>47</v>
      </c>
      <c r="M73" s="52">
        <f>M67+M68+M69+M70+M71</f>
        <v>0</v>
      </c>
      <c r="N73" s="32" t="s">
        <v>28</v>
      </c>
      <c r="S73" s="53">
        <f>S67+S68+S69+S70+S71</f>
        <v>0</v>
      </c>
      <c r="T73" s="28" t="s">
        <v>147</v>
      </c>
      <c r="U73" s="110"/>
    </row>
    <row r="74" spans="1:22" x14ac:dyDescent="0.25">
      <c r="K74" s="66"/>
    </row>
    <row r="75" spans="1:22" x14ac:dyDescent="0.25">
      <c r="A75" s="7" t="s">
        <v>36</v>
      </c>
      <c r="K75" s="66"/>
      <c r="L75" s="7" t="s">
        <v>36</v>
      </c>
    </row>
    <row r="76" spans="1:22" x14ac:dyDescent="0.25">
      <c r="A76" t="s">
        <v>37</v>
      </c>
      <c r="B76" s="41"/>
      <c r="C76" t="s">
        <v>38</v>
      </c>
      <c r="K76" s="66"/>
      <c r="L76" t="s">
        <v>37</v>
      </c>
      <c r="M76" s="41"/>
      <c r="N76" t="s">
        <v>38</v>
      </c>
    </row>
    <row r="77" spans="1:22" x14ac:dyDescent="0.25">
      <c r="A77" t="s">
        <v>39</v>
      </c>
      <c r="B77" s="41"/>
      <c r="C77" t="s">
        <v>38</v>
      </c>
      <c r="K77" s="66"/>
      <c r="L77" t="s">
        <v>39</v>
      </c>
      <c r="M77" s="41"/>
      <c r="N77" t="s">
        <v>38</v>
      </c>
    </row>
    <row r="78" spans="1:22" x14ac:dyDescent="0.25">
      <c r="A78" t="s">
        <v>40</v>
      </c>
      <c r="B78" s="41"/>
      <c r="C78" t="s">
        <v>38</v>
      </c>
      <c r="K78" s="66"/>
      <c r="L78" t="s">
        <v>40</v>
      </c>
      <c r="M78" s="41"/>
      <c r="N78" t="s">
        <v>38</v>
      </c>
    </row>
    <row r="79" spans="1:22" x14ac:dyDescent="0.25">
      <c r="B79" s="1"/>
      <c r="K79" s="66"/>
    </row>
    <row r="80" spans="1:22" x14ac:dyDescent="0.25">
      <c r="B80" s="1"/>
      <c r="K80" s="66"/>
    </row>
    <row r="81" spans="1:18" x14ac:dyDescent="0.25">
      <c r="K81" s="66"/>
    </row>
    <row r="82" spans="1:18" ht="15.6" x14ac:dyDescent="0.3">
      <c r="A82" s="7" t="s">
        <v>41</v>
      </c>
      <c r="B82" s="53">
        <f>((B76*B23)+(B77*B25)+(B26*B78))*365</f>
        <v>0</v>
      </c>
      <c r="C82" t="s">
        <v>44</v>
      </c>
      <c r="E82" s="33" t="s">
        <v>137</v>
      </c>
      <c r="K82" s="66"/>
      <c r="L82" s="7" t="s">
        <v>41</v>
      </c>
      <c r="M82" s="62" t="e">
        <f>((M76*N23)+(M77*N25)+(N26*M78))*365</f>
        <v>#DIV/0!</v>
      </c>
      <c r="N82" t="s">
        <v>44</v>
      </c>
      <c r="P82" s="33" t="s">
        <v>137</v>
      </c>
    </row>
    <row r="83" spans="1:18" ht="15.6" x14ac:dyDescent="0.3">
      <c r="A83" s="7"/>
      <c r="B83" s="6"/>
      <c r="K83" s="66"/>
      <c r="M83" s="24"/>
    </row>
    <row r="84" spans="1:18" ht="15.6" x14ac:dyDescent="0.3">
      <c r="A84" s="7" t="s">
        <v>42</v>
      </c>
      <c r="B84" s="53">
        <f>(B67*D67)+(B68*D68)+(B69*D69)+(B70*D70)+(B71*D71)</f>
        <v>0</v>
      </c>
      <c r="C84" t="s">
        <v>44</v>
      </c>
      <c r="K84" s="66"/>
      <c r="L84" s="7" t="s">
        <v>42</v>
      </c>
      <c r="M84" s="62">
        <f>(M67*O67)+(M68*O68)+(M69*O69)+(M70*O70)+(M71*O71)</f>
        <v>0</v>
      </c>
      <c r="N84" t="s">
        <v>44</v>
      </c>
    </row>
    <row r="85" spans="1:18" ht="15.6" x14ac:dyDescent="0.3">
      <c r="A85" s="7"/>
      <c r="B85" s="116"/>
      <c r="K85" s="66"/>
      <c r="L85" s="7"/>
      <c r="M85" s="111"/>
    </row>
    <row r="86" spans="1:18" ht="15.6" x14ac:dyDescent="0.3">
      <c r="A86" s="7"/>
      <c r="B86" s="6"/>
      <c r="K86" s="66"/>
    </row>
    <row r="87" spans="1:18" ht="15.6" x14ac:dyDescent="0.3">
      <c r="A87" s="7" t="s">
        <v>43</v>
      </c>
      <c r="B87" s="62">
        <f>B84-B82</f>
        <v>0</v>
      </c>
      <c r="C87" s="89" t="s">
        <v>155</v>
      </c>
      <c r="F87" s="117"/>
      <c r="K87" s="66"/>
      <c r="L87" s="7" t="s">
        <v>43</v>
      </c>
      <c r="M87" s="62" t="e">
        <f>M84-M82</f>
        <v>#DIV/0!</v>
      </c>
      <c r="N87" s="89" t="s">
        <v>152</v>
      </c>
      <c r="Q87" s="57"/>
    </row>
    <row r="88" spans="1:18" x14ac:dyDescent="0.25">
      <c r="F88" s="118"/>
      <c r="K88" s="66"/>
    </row>
    <row r="89" spans="1:18" x14ac:dyDescent="0.25">
      <c r="B89" s="1"/>
      <c r="K89" s="66"/>
    </row>
    <row r="90" spans="1:18" x14ac:dyDescent="0.25">
      <c r="A90" s="7" t="s">
        <v>50</v>
      </c>
      <c r="B90" s="84"/>
      <c r="C90" t="s">
        <v>67</v>
      </c>
      <c r="K90" s="66"/>
      <c r="L90" s="7" t="s">
        <v>50</v>
      </c>
      <c r="M90" s="63" t="e">
        <f>((B90/100*E11)-((B24-N24)/2)*N23)/(T11/100)*1.1</f>
        <v>#DIV/0!</v>
      </c>
      <c r="N90" t="s">
        <v>161</v>
      </c>
    </row>
    <row r="91" spans="1:18" x14ac:dyDescent="0.25">
      <c r="A91" s="7" t="s">
        <v>69</v>
      </c>
      <c r="B91" s="41"/>
      <c r="C91" t="s">
        <v>51</v>
      </c>
      <c r="K91" s="66"/>
      <c r="L91" s="7" t="s">
        <v>69</v>
      </c>
      <c r="M91" s="64"/>
      <c r="N91" t="s">
        <v>51</v>
      </c>
      <c r="Q91" t="s">
        <v>162</v>
      </c>
    </row>
    <row r="92" spans="1:18" x14ac:dyDescent="0.25">
      <c r="A92" s="7"/>
      <c r="B92" s="1"/>
      <c r="K92" s="66"/>
      <c r="L92" s="7"/>
    </row>
    <row r="93" spans="1:18" ht="15.6" x14ac:dyDescent="0.3">
      <c r="A93" s="7" t="s">
        <v>52</v>
      </c>
      <c r="B93" s="52">
        <f>B90*(B11/100)</f>
        <v>0</v>
      </c>
      <c r="C93" t="s">
        <v>0</v>
      </c>
      <c r="E93" t="s">
        <v>56</v>
      </c>
      <c r="G93" s="122" t="e">
        <f>E11/(B82+(0.9*B93))</f>
        <v>#DIV/0!</v>
      </c>
      <c r="K93" s="66"/>
      <c r="L93" s="7" t="s">
        <v>68</v>
      </c>
      <c r="M93" s="62" t="e">
        <f>M90*R11/100</f>
        <v>#DIV/0!</v>
      </c>
      <c r="N93" t="s">
        <v>0</v>
      </c>
      <c r="P93" s="7" t="s">
        <v>56</v>
      </c>
      <c r="Q93" s="7"/>
      <c r="R93" s="56" t="e">
        <f>T11/(M82+(M93*0.9))</f>
        <v>#DIV/0!</v>
      </c>
    </row>
    <row r="94" spans="1:18" ht="15.6" x14ac:dyDescent="0.3">
      <c r="A94" s="7" t="s">
        <v>53</v>
      </c>
      <c r="B94" s="54">
        <f>B93*B91</f>
        <v>0</v>
      </c>
      <c r="E94" t="s">
        <v>57</v>
      </c>
      <c r="G94" s="122" t="e">
        <f>E11/(((B76*B23)*365)+(0.9*B93))</f>
        <v>#DIV/0!</v>
      </c>
      <c r="K94" s="66"/>
      <c r="L94" s="7" t="s">
        <v>53</v>
      </c>
      <c r="M94" s="50" t="e">
        <f>M93*M91</f>
        <v>#DIV/0!</v>
      </c>
      <c r="P94" s="7" t="s">
        <v>57</v>
      </c>
      <c r="Q94" s="7"/>
      <c r="R94" s="56" t="e">
        <f>T11/(((N23*M76)*365)+(M93*0.9))</f>
        <v>#DIV/0!</v>
      </c>
    </row>
    <row r="95" spans="1:18" ht="13.8" x14ac:dyDescent="0.25">
      <c r="A95" s="7" t="s">
        <v>115</v>
      </c>
      <c r="B95" s="99" t="e">
        <f>B94/B23</f>
        <v>#DIV/0!</v>
      </c>
      <c r="K95" s="66"/>
      <c r="L95" s="7" t="s">
        <v>116</v>
      </c>
      <c r="M95" s="98" t="e">
        <f>M94/N23</f>
        <v>#DIV/0!</v>
      </c>
    </row>
    <row r="96" spans="1:18" x14ac:dyDescent="0.25">
      <c r="K96" s="66"/>
    </row>
    <row r="97" spans="1:19" x14ac:dyDescent="0.25">
      <c r="K97" s="66"/>
    </row>
    <row r="98" spans="1:19" ht="21" x14ac:dyDescent="0.4">
      <c r="A98" s="48" t="s">
        <v>112</v>
      </c>
      <c r="K98" s="66"/>
      <c r="L98" s="48" t="s">
        <v>112</v>
      </c>
      <c r="P98" s="5" t="s">
        <v>109</v>
      </c>
    </row>
    <row r="99" spans="1:19" x14ac:dyDescent="0.25">
      <c r="K99" s="66"/>
    </row>
    <row r="100" spans="1:19" ht="15.6" x14ac:dyDescent="0.3">
      <c r="A100" t="s">
        <v>71</v>
      </c>
      <c r="B100" s="94">
        <f>B23</f>
        <v>0</v>
      </c>
      <c r="C100" t="s">
        <v>24</v>
      </c>
      <c r="K100" s="66"/>
      <c r="L100" t="s">
        <v>71</v>
      </c>
      <c r="M100" s="92" t="e">
        <f>N23</f>
        <v>#DIV/0!</v>
      </c>
      <c r="N100" t="s">
        <v>24</v>
      </c>
      <c r="P100" s="65" t="e">
        <f>M100-B100</f>
        <v>#DIV/0!</v>
      </c>
      <c r="Q100" s="6" t="s">
        <v>105</v>
      </c>
      <c r="R100" s="6"/>
      <c r="S100" s="6"/>
    </row>
    <row r="101" spans="1:19" ht="15.6" x14ac:dyDescent="0.3">
      <c r="A101" t="s">
        <v>72</v>
      </c>
      <c r="B101" s="94">
        <f>B25+B26</f>
        <v>0</v>
      </c>
      <c r="C101" t="s">
        <v>24</v>
      </c>
      <c r="K101" s="66"/>
      <c r="L101" t="s">
        <v>72</v>
      </c>
      <c r="M101" s="92" t="e">
        <f>N26+N25</f>
        <v>#DIV/0!</v>
      </c>
      <c r="N101" t="s">
        <v>24</v>
      </c>
      <c r="P101" s="65" t="e">
        <f>M101-B101</f>
        <v>#DIV/0!</v>
      </c>
      <c r="Q101" s="6" t="s">
        <v>106</v>
      </c>
      <c r="R101" s="6"/>
      <c r="S101" s="6"/>
    </row>
    <row r="102" spans="1:19" ht="15.6" x14ac:dyDescent="0.3">
      <c r="A102" t="s">
        <v>98</v>
      </c>
      <c r="B102" s="94">
        <f>E11</f>
        <v>0</v>
      </c>
      <c r="C102" t="s">
        <v>99</v>
      </c>
      <c r="K102" s="66"/>
      <c r="L102" t="s">
        <v>98</v>
      </c>
      <c r="M102" s="92" t="e">
        <f>T11</f>
        <v>#DIV/0!</v>
      </c>
      <c r="N102" t="s">
        <v>99</v>
      </c>
      <c r="P102" s="65" t="e">
        <f>B102-M102</f>
        <v>#DIV/0!</v>
      </c>
      <c r="Q102" s="6" t="s">
        <v>102</v>
      </c>
      <c r="R102" s="6"/>
      <c r="S102" s="6"/>
    </row>
    <row r="103" spans="1:19" ht="15.6" x14ac:dyDescent="0.3">
      <c r="A103" t="s">
        <v>100</v>
      </c>
      <c r="B103" s="92" t="e">
        <f>B102/B105</f>
        <v>#DIV/0!</v>
      </c>
      <c r="C103" t="s">
        <v>101</v>
      </c>
      <c r="K103" s="66"/>
      <c r="L103" t="s">
        <v>100</v>
      </c>
      <c r="M103" s="92" t="e">
        <f>M102/M105</f>
        <v>#DIV/0!</v>
      </c>
      <c r="N103" t="s">
        <v>101</v>
      </c>
      <c r="P103" s="65" t="e">
        <f>B103-M103</f>
        <v>#DIV/0!</v>
      </c>
      <c r="Q103" s="6" t="s">
        <v>103</v>
      </c>
      <c r="R103" s="6"/>
      <c r="S103" s="6"/>
    </row>
    <row r="104" spans="1:19" ht="15.6" x14ac:dyDescent="0.3">
      <c r="A104" t="s">
        <v>96</v>
      </c>
      <c r="B104" s="93">
        <f>G14</f>
        <v>0</v>
      </c>
      <c r="C104" t="s">
        <v>97</v>
      </c>
      <c r="K104" s="66"/>
      <c r="L104" t="s">
        <v>96</v>
      </c>
      <c r="M104" s="93" t="e">
        <f>V14</f>
        <v>#DIV/0!</v>
      </c>
      <c r="N104" t="s">
        <v>97</v>
      </c>
      <c r="P104" s="54" t="e">
        <f>M104-B104</f>
        <v>#DIV/0!</v>
      </c>
      <c r="Q104" s="6" t="s">
        <v>104</v>
      </c>
      <c r="R104" s="6"/>
      <c r="S104" s="6"/>
    </row>
    <row r="105" spans="1:19" ht="15.6" x14ac:dyDescent="0.3">
      <c r="A105" t="s">
        <v>73</v>
      </c>
      <c r="B105" s="94">
        <f>B73</f>
        <v>0</v>
      </c>
      <c r="C105" t="s">
        <v>28</v>
      </c>
      <c r="K105" s="66"/>
      <c r="L105" t="s">
        <v>73</v>
      </c>
      <c r="M105" s="94">
        <f>M73</f>
        <v>0</v>
      </c>
      <c r="N105" t="s">
        <v>28</v>
      </c>
      <c r="P105" s="52">
        <f>M105-B105</f>
        <v>0</v>
      </c>
      <c r="Q105" s="6" t="s">
        <v>91</v>
      </c>
      <c r="R105" s="6"/>
      <c r="S105" s="6"/>
    </row>
    <row r="106" spans="1:19" ht="15.6" x14ac:dyDescent="0.3">
      <c r="A106" t="s">
        <v>74</v>
      </c>
      <c r="B106" s="92" t="e">
        <f>H73/B73</f>
        <v>#DIV/0!</v>
      </c>
      <c r="C106" t="s">
        <v>78</v>
      </c>
      <c r="K106" s="66"/>
      <c r="L106" t="s">
        <v>74</v>
      </c>
      <c r="M106" s="92" t="e">
        <f>M84/M73</f>
        <v>#DIV/0!</v>
      </c>
      <c r="N106" t="s">
        <v>78</v>
      </c>
      <c r="P106" s="65" t="e">
        <f>B106-M106</f>
        <v>#DIV/0!</v>
      </c>
      <c r="Q106" s="6" t="s">
        <v>110</v>
      </c>
      <c r="R106" s="6"/>
      <c r="S106" s="6"/>
    </row>
    <row r="107" spans="1:19" ht="15.6" x14ac:dyDescent="0.3">
      <c r="A107" t="s">
        <v>150</v>
      </c>
      <c r="B107" s="135">
        <f>B87*-0.15</f>
        <v>0</v>
      </c>
      <c r="C107" t="s">
        <v>151</v>
      </c>
      <c r="K107" s="66"/>
      <c r="L107" t="s">
        <v>153</v>
      </c>
      <c r="M107" s="93" t="e">
        <f>M87*-0.3</f>
        <v>#DIV/0!</v>
      </c>
      <c r="N107" t="s">
        <v>154</v>
      </c>
      <c r="P107" s="123" t="e">
        <f>B107-M107</f>
        <v>#DIV/0!</v>
      </c>
      <c r="Q107" s="6" t="s">
        <v>158</v>
      </c>
      <c r="R107" s="6"/>
      <c r="S107" s="6"/>
    </row>
    <row r="108" spans="1:19" ht="15.6" x14ac:dyDescent="0.3">
      <c r="B108" s="94"/>
      <c r="K108" s="66"/>
      <c r="M108" s="94"/>
      <c r="P108" s="52"/>
      <c r="Q108" s="6"/>
      <c r="R108" s="6"/>
      <c r="S108" s="6"/>
    </row>
    <row r="109" spans="1:19" ht="15.6" x14ac:dyDescent="0.3">
      <c r="A109" t="s">
        <v>75</v>
      </c>
      <c r="B109" s="94">
        <f>B93</f>
        <v>0</v>
      </c>
      <c r="C109" t="s">
        <v>79</v>
      </c>
      <c r="K109" s="66"/>
      <c r="L109" t="s">
        <v>75</v>
      </c>
      <c r="M109" s="92" t="e">
        <f>M93</f>
        <v>#DIV/0!</v>
      </c>
      <c r="N109" t="s">
        <v>94</v>
      </c>
      <c r="P109" s="65" t="e">
        <f>B109-M109</f>
        <v>#DIV/0!</v>
      </c>
      <c r="Q109" s="6" t="s">
        <v>92</v>
      </c>
      <c r="R109" s="6"/>
      <c r="S109" s="6"/>
    </row>
    <row r="110" spans="1:19" ht="15.6" x14ac:dyDescent="0.3">
      <c r="A110" t="s">
        <v>76</v>
      </c>
      <c r="B110" s="93">
        <f>B94</f>
        <v>0</v>
      </c>
      <c r="K110" s="66"/>
      <c r="L110" t="s">
        <v>76</v>
      </c>
      <c r="M110" s="93" t="e">
        <f>M94</f>
        <v>#DIV/0!</v>
      </c>
      <c r="N110" t="s">
        <v>95</v>
      </c>
      <c r="P110" s="54" t="e">
        <f>M110-B110</f>
        <v>#DIV/0!</v>
      </c>
      <c r="Q110" s="6" t="s">
        <v>93</v>
      </c>
      <c r="R110" s="6"/>
      <c r="S110" s="6"/>
    </row>
    <row r="111" spans="1:19" ht="15.6" x14ac:dyDescent="0.3">
      <c r="A111" t="s">
        <v>139</v>
      </c>
      <c r="B111" s="93" t="e">
        <f>B110/B100</f>
        <v>#DIV/0!</v>
      </c>
      <c r="K111" s="66"/>
      <c r="L111" t="s">
        <v>139</v>
      </c>
      <c r="M111" s="93" t="e">
        <f>M110/M100</f>
        <v>#DIV/0!</v>
      </c>
      <c r="P111" s="54" t="e">
        <f>M111-B111</f>
        <v>#DIV/0!</v>
      </c>
      <c r="Q111" s="6" t="s">
        <v>140</v>
      </c>
      <c r="R111" s="6"/>
      <c r="S111" s="6"/>
    </row>
    <row r="112" spans="1:19" ht="15" x14ac:dyDescent="0.25">
      <c r="K112" s="66"/>
      <c r="Q112" s="28"/>
      <c r="R112" s="28"/>
      <c r="S112" s="28"/>
    </row>
    <row r="113" spans="1:17" ht="17.399999999999999" x14ac:dyDescent="0.3">
      <c r="A113" s="5" t="s">
        <v>107</v>
      </c>
      <c r="B113" s="115">
        <f>B104-B94-B107</f>
        <v>0</v>
      </c>
      <c r="C113" s="90"/>
      <c r="D113" s="90"/>
      <c r="E113" s="90"/>
      <c r="F113" s="90"/>
      <c r="G113" s="90"/>
      <c r="H113" s="90"/>
      <c r="I113" s="90"/>
      <c r="J113" s="90"/>
      <c r="K113" s="95"/>
      <c r="L113" s="5" t="s">
        <v>107</v>
      </c>
      <c r="M113" s="115" t="e">
        <f>M104-M94-M107</f>
        <v>#DIV/0!</v>
      </c>
      <c r="P113" s="91" t="e">
        <f>M113-B113</f>
        <v>#DIV/0!</v>
      </c>
      <c r="Q113" s="6" t="s">
        <v>108</v>
      </c>
    </row>
    <row r="114" spans="1:17" x14ac:dyDescent="0.25">
      <c r="B114" s="1"/>
      <c r="K114" s="66"/>
      <c r="M114" s="1"/>
    </row>
    <row r="115" spans="1:17" ht="15.6" x14ac:dyDescent="0.3">
      <c r="A115" s="6" t="s">
        <v>131</v>
      </c>
      <c r="B115" s="54" t="e">
        <f>B113/B23</f>
        <v>#DIV/0!</v>
      </c>
      <c r="C115" s="6"/>
      <c r="D115" s="6"/>
      <c r="E115" s="6"/>
      <c r="F115" s="6"/>
      <c r="G115" s="6"/>
      <c r="H115" s="6"/>
      <c r="I115" s="6"/>
      <c r="J115" s="6"/>
      <c r="K115" s="6"/>
      <c r="L115" s="6" t="s">
        <v>131</v>
      </c>
      <c r="M115" s="54" t="e">
        <f>M113/N23</f>
        <v>#DIV/0!</v>
      </c>
    </row>
    <row r="119" spans="1:17" ht="17.399999999999999" x14ac:dyDescent="0.3">
      <c r="A119" s="5" t="s">
        <v>138</v>
      </c>
      <c r="L119" s="5" t="s">
        <v>138</v>
      </c>
    </row>
    <row r="120" spans="1:17" ht="17.399999999999999" x14ac:dyDescent="0.3">
      <c r="A120" s="5"/>
      <c r="L120" s="5"/>
    </row>
    <row r="121" spans="1:17" ht="13.8" x14ac:dyDescent="0.25">
      <c r="B121" s="14" t="s">
        <v>132</v>
      </c>
      <c r="D121" s="14" t="s">
        <v>133</v>
      </c>
      <c r="M121" s="14" t="s">
        <v>132</v>
      </c>
      <c r="O121" s="10" t="s">
        <v>133</v>
      </c>
    </row>
    <row r="122" spans="1:17" ht="15" x14ac:dyDescent="0.25">
      <c r="A122" s="28" t="s">
        <v>142</v>
      </c>
      <c r="B122" s="38">
        <v>178</v>
      </c>
      <c r="D122" s="124"/>
      <c r="L122" s="32" t="s">
        <v>143</v>
      </c>
      <c r="M122" s="38">
        <v>33</v>
      </c>
      <c r="O122" s="124"/>
    </row>
    <row r="123" spans="1:17" ht="15" x14ac:dyDescent="0.25">
      <c r="A123" s="28" t="s">
        <v>141</v>
      </c>
      <c r="B123" s="38">
        <v>40</v>
      </c>
      <c r="D123" s="124"/>
      <c r="L123" s="32" t="s">
        <v>141</v>
      </c>
      <c r="M123" s="38">
        <v>46</v>
      </c>
      <c r="O123" s="124"/>
    </row>
    <row r="124" spans="1:17" ht="13.8" x14ac:dyDescent="0.25">
      <c r="A124" s="32" t="s">
        <v>119</v>
      </c>
      <c r="B124" s="38">
        <v>15</v>
      </c>
      <c r="D124" s="124"/>
      <c r="L124" s="32" t="s">
        <v>119</v>
      </c>
      <c r="M124" s="38">
        <v>28</v>
      </c>
      <c r="O124" s="124"/>
    </row>
    <row r="125" spans="1:17" ht="13.8" x14ac:dyDescent="0.25">
      <c r="A125" s="32" t="s">
        <v>120</v>
      </c>
      <c r="B125" s="38">
        <v>32</v>
      </c>
      <c r="D125" s="124"/>
      <c r="L125" s="32" t="s">
        <v>120</v>
      </c>
      <c r="M125" s="38">
        <v>66</v>
      </c>
      <c r="O125" s="124"/>
    </row>
    <row r="126" spans="1:17" ht="13.8" x14ac:dyDescent="0.25">
      <c r="A126" s="32" t="s">
        <v>121</v>
      </c>
      <c r="B126" s="38">
        <v>19</v>
      </c>
      <c r="D126" s="124"/>
      <c r="L126" s="32" t="s">
        <v>121</v>
      </c>
      <c r="M126" s="38">
        <v>19</v>
      </c>
      <c r="O126" s="124"/>
    </row>
    <row r="127" spans="1:17" ht="13.8" x14ac:dyDescent="0.25">
      <c r="A127" s="32" t="s">
        <v>122</v>
      </c>
      <c r="B127" s="38">
        <v>46</v>
      </c>
      <c r="D127" s="124"/>
      <c r="L127" s="32" t="s">
        <v>122</v>
      </c>
      <c r="M127" s="38">
        <v>34</v>
      </c>
      <c r="O127" s="124"/>
    </row>
    <row r="128" spans="1:17" ht="13.8" x14ac:dyDescent="0.25">
      <c r="A128" s="32" t="s">
        <v>123</v>
      </c>
      <c r="B128" s="38">
        <v>83</v>
      </c>
      <c r="D128" s="124"/>
      <c r="L128" s="32" t="s">
        <v>123</v>
      </c>
      <c r="M128" s="38">
        <v>105</v>
      </c>
      <c r="O128" s="124"/>
    </row>
    <row r="129" spans="1:15" ht="13.8" x14ac:dyDescent="0.25">
      <c r="A129" s="32" t="s">
        <v>124</v>
      </c>
      <c r="B129" s="38">
        <v>19</v>
      </c>
      <c r="D129" s="124"/>
      <c r="L129" s="32" t="s">
        <v>124</v>
      </c>
      <c r="M129" s="38">
        <v>17</v>
      </c>
      <c r="O129" s="124"/>
    </row>
    <row r="130" spans="1:15" ht="13.8" x14ac:dyDescent="0.25">
      <c r="A130" s="32" t="s">
        <v>125</v>
      </c>
      <c r="B130" s="38">
        <v>127</v>
      </c>
      <c r="D130" s="124"/>
      <c r="L130" s="32" t="s">
        <v>125</v>
      </c>
      <c r="M130" s="38">
        <v>106</v>
      </c>
      <c r="O130" s="124"/>
    </row>
    <row r="131" spans="1:15" ht="13.8" x14ac:dyDescent="0.25">
      <c r="A131" s="32" t="s">
        <v>126</v>
      </c>
      <c r="B131" s="38">
        <v>151</v>
      </c>
      <c r="D131" s="124"/>
      <c r="L131" s="32" t="s">
        <v>126</v>
      </c>
      <c r="M131" s="38">
        <v>98</v>
      </c>
      <c r="O131" s="124"/>
    </row>
    <row r="132" spans="1:15" ht="13.8" x14ac:dyDescent="0.25">
      <c r="A132" s="32" t="s">
        <v>127</v>
      </c>
      <c r="B132" s="38">
        <v>92</v>
      </c>
      <c r="D132" s="124"/>
      <c r="L132" s="32" t="s">
        <v>127</v>
      </c>
      <c r="M132" s="38">
        <v>92</v>
      </c>
      <c r="O132" s="124"/>
    </row>
    <row r="133" spans="1:15" ht="13.8" x14ac:dyDescent="0.25">
      <c r="A133" s="32" t="s">
        <v>128</v>
      </c>
      <c r="B133" s="38">
        <v>31</v>
      </c>
      <c r="D133" s="124"/>
      <c r="L133" s="32" t="s">
        <v>128</v>
      </c>
      <c r="M133" s="38">
        <v>31</v>
      </c>
      <c r="O133" s="124"/>
    </row>
    <row r="134" spans="1:15" ht="13.8" x14ac:dyDescent="0.25">
      <c r="A134" s="32" t="s">
        <v>129</v>
      </c>
      <c r="B134" s="38">
        <v>18</v>
      </c>
      <c r="D134" s="124"/>
      <c r="L134" s="32" t="s">
        <v>129</v>
      </c>
      <c r="M134" s="38">
        <v>18</v>
      </c>
      <c r="O134" s="124"/>
    </row>
    <row r="135" spans="1:15" ht="13.8" x14ac:dyDescent="0.25">
      <c r="A135" s="32" t="s">
        <v>130</v>
      </c>
      <c r="B135" s="38">
        <v>19</v>
      </c>
      <c r="D135" s="124"/>
      <c r="L135" s="32" t="s">
        <v>130</v>
      </c>
      <c r="M135" s="38">
        <v>19</v>
      </c>
      <c r="O135" s="124"/>
    </row>
    <row r="136" spans="1:15" x14ac:dyDescent="0.25">
      <c r="D136" s="7"/>
    </row>
    <row r="137" spans="1:15" ht="15.6" x14ac:dyDescent="0.3">
      <c r="A137" s="100" t="s">
        <v>134</v>
      </c>
      <c r="B137" s="103">
        <f>B124+B125+B126+B127+B128+B129+B130+B131+B132+B133+B134+B135+B123+B122</f>
        <v>870</v>
      </c>
      <c r="C137" s="102"/>
      <c r="D137" s="103">
        <f>D124+D125+D126+D127+D128+D129+D130+D131+D132+D133+D134+D135+D123+D122</f>
        <v>0</v>
      </c>
      <c r="E137" s="102"/>
      <c r="F137" s="102"/>
      <c r="G137" s="102"/>
      <c r="H137" s="102"/>
      <c r="I137" s="102"/>
      <c r="J137" s="102"/>
      <c r="K137" s="102"/>
      <c r="L137" s="102"/>
      <c r="M137" s="103">
        <f>M124+M125+M126+M127+M128+M129+M130+M131+M132+M133+M134+M135</f>
        <v>633</v>
      </c>
      <c r="N137" s="102"/>
      <c r="O137" s="103">
        <f>O124+O125+O126+O127+O128+O129+O130+O131+O132+O133+O134+O135+O123+O122</f>
        <v>0</v>
      </c>
    </row>
    <row r="138" spans="1:15" x14ac:dyDescent="0.25">
      <c r="D138" s="1"/>
      <c r="O138" s="1"/>
    </row>
    <row r="139" spans="1:15" ht="17.399999999999999" x14ac:dyDescent="0.3">
      <c r="A139" s="5" t="s">
        <v>135</v>
      </c>
      <c r="B139" s="90"/>
      <c r="C139" s="90"/>
      <c r="D139" s="115" t="e">
        <f>B115-D137</f>
        <v>#DIV/0!</v>
      </c>
      <c r="L139" s="5" t="s">
        <v>135</v>
      </c>
      <c r="M139" s="90"/>
      <c r="N139" s="90"/>
      <c r="O139" s="113" t="e">
        <f>M115-O137</f>
        <v>#DIV/0!</v>
      </c>
    </row>
    <row r="140" spans="1:15" x14ac:dyDescent="0.25">
      <c r="D140" s="1"/>
      <c r="O140" s="1"/>
    </row>
    <row r="141" spans="1:15" x14ac:dyDescent="0.25">
      <c r="D141" s="1"/>
      <c r="O141" s="1"/>
    </row>
    <row r="142" spans="1:15" x14ac:dyDescent="0.25">
      <c r="D142" s="1"/>
      <c r="O142" s="1"/>
    </row>
    <row r="143" spans="1:15" ht="22.8" x14ac:dyDescent="0.4">
      <c r="A143" s="104" t="s">
        <v>148</v>
      </c>
      <c r="B143" s="104"/>
      <c r="C143" s="104"/>
      <c r="D143" s="114" t="e">
        <f>D139*B23</f>
        <v>#DIV/0!</v>
      </c>
      <c r="E143" s="104"/>
      <c r="F143" s="104"/>
      <c r="G143" s="104"/>
      <c r="H143" s="104"/>
      <c r="I143" s="104"/>
      <c r="J143" s="104"/>
      <c r="K143" s="104"/>
      <c r="L143" s="104" t="s">
        <v>149</v>
      </c>
      <c r="M143" s="104"/>
      <c r="N143" s="104"/>
      <c r="O143" s="114" t="e">
        <f>O139*N23</f>
        <v>#DIV/0!</v>
      </c>
    </row>
    <row r="144" spans="1:15" ht="22.8" x14ac:dyDescent="0.4">
      <c r="A144" s="104"/>
      <c r="B144" s="104"/>
      <c r="C144" s="104"/>
      <c r="D144" s="112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12"/>
    </row>
    <row r="145" spans="1:15" ht="22.8" x14ac:dyDescent="0.4">
      <c r="A145" s="104"/>
      <c r="B145" s="104"/>
      <c r="C145" s="104"/>
      <c r="D145" s="112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12"/>
    </row>
    <row r="146" spans="1:15" ht="30" x14ac:dyDescent="0.5">
      <c r="B146" s="104"/>
      <c r="C146" s="104"/>
      <c r="D146" s="104"/>
      <c r="E146" s="104" t="s">
        <v>136</v>
      </c>
      <c r="F146" s="104"/>
      <c r="G146" s="106" t="e">
        <f>O143-D143</f>
        <v>#DIV/0!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Willems</dc:creator>
  <cp:lastModifiedBy>Geert Willems</cp:lastModifiedBy>
  <dcterms:created xsi:type="dcterms:W3CDTF">2019-02-23T19:48:46Z</dcterms:created>
  <dcterms:modified xsi:type="dcterms:W3CDTF">2026-02-08T11:07:54Z</dcterms:modified>
</cp:coreProperties>
</file>